
<file path=[Content_Types].xml><?xml version="1.0" encoding="utf-8"?>
<Types xmlns="http://schemas.openxmlformats.org/package/2006/content-types">
  <Default Extension="xml" ContentType="application/xml"/>
  <Default Extension="jpeg" ContentType="image/jpeg"/>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ables/table1.xml" ContentType="application/vnd.openxmlformats-officedocument.spreadsheetml.table+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5" lowestEdited="5" rupBuild="23206"/>
  <workbookPr autoCompressPictures="0"/>
  <bookViews>
    <workbookView xWindow="240" yWindow="0" windowWidth="25360" windowHeight="14140"/>
  </bookViews>
  <sheets>
    <sheet name="Calendrier" sheetId="1" r:id="rId1"/>
    <sheet name="Liste de recherche" sheetId="2" r:id="rId2"/>
  </sheets>
  <definedNames>
    <definedName name="AprSun1">DATE(TheYear,4,1)-WEEKDAY(DATE(TheYear,4,1))+1</definedName>
    <definedName name="AugSun1">DATE(TheYear,8,1)-WEEKDAY(DATE(TheYear,8,1))+1</definedName>
    <definedName name="DecSun1">DATE(TheYear,12,1)-WEEKDAY(DATE(TheYear,12,1))+1</definedName>
    <definedName name="FebSun1">DATE(TheYear,2,1)-WEEKDAY(DATE(TheYear,2,1))+1</definedName>
    <definedName name="JanSun1">DATE(TheYear,1,1)-WEEKDAY(DATE(TheYear,1,1))+1</definedName>
    <definedName name="JulSun1">DATE(TheYear,7,1)-WEEKDAY(DATE(TheYear,7,1))+1</definedName>
    <definedName name="JunSun1">DATE(TheYear,6,1)-WEEKDAY(DATE(TheYear,6,1))+1</definedName>
    <definedName name="MarSun1">DATE(TheYear,3,1)-WEEKDAY(DATE(TheYear,3,1))+1</definedName>
    <definedName name="MaySun1">DATE(TheYear,5,1)-WEEKDAY(DATE(TheYear,5,1))+1</definedName>
    <definedName name="NovSun1">DATE(TheYear,11,1)-WEEKDAY(DATE(TheYear,11,1))+1</definedName>
    <definedName name="OctSun1">DATE(TheYear,10,1)-WEEKDAY(DATE(TheYear,10,1))+1</definedName>
    <definedName name="SepSun1">DATE(TheYear,11,1)-WEEKDAY(DATE(TheYear,11,1))+1</definedName>
    <definedName name="TheYear">Calendrier!$B$2</definedName>
    <definedName name="YearLookup">YearLookupList[]</definedName>
  </definedNam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Y29" i="1" l="1"/>
  <c r="X29" i="1"/>
  <c r="W29" i="1"/>
  <c r="V29" i="1"/>
  <c r="U29" i="1"/>
  <c r="T29" i="1"/>
  <c r="S29" i="1"/>
  <c r="Y28" i="1"/>
  <c r="X28" i="1"/>
  <c r="W28" i="1"/>
  <c r="V28" i="1"/>
  <c r="U28" i="1"/>
  <c r="T28" i="1"/>
  <c r="S28" i="1"/>
  <c r="Y27" i="1"/>
  <c r="X27" i="1"/>
  <c r="W27" i="1"/>
  <c r="V27" i="1"/>
  <c r="U27" i="1"/>
  <c r="T27" i="1"/>
  <c r="S27" i="1"/>
  <c r="Y26" i="1"/>
  <c r="X26" i="1"/>
  <c r="W26" i="1"/>
  <c r="V26" i="1"/>
  <c r="U26" i="1"/>
  <c r="T26" i="1"/>
  <c r="S26" i="1"/>
  <c r="Y25" i="1"/>
  <c r="X25" i="1"/>
  <c r="W25" i="1"/>
  <c r="V25" i="1"/>
  <c r="U25" i="1"/>
  <c r="T25" i="1"/>
  <c r="S25" i="1"/>
  <c r="AG30" i="1"/>
  <c r="AF30" i="1"/>
  <c r="AE30" i="1"/>
  <c r="AD30" i="1"/>
  <c r="AC30" i="1"/>
  <c r="AB30" i="1"/>
  <c r="AA30" i="1"/>
  <c r="Y30" i="1"/>
  <c r="X30" i="1"/>
  <c r="W30" i="1"/>
  <c r="V30" i="1"/>
  <c r="U30" i="1"/>
  <c r="T30" i="1"/>
  <c r="S30" i="1"/>
  <c r="Q30" i="1"/>
  <c r="P30" i="1"/>
  <c r="O30" i="1"/>
  <c r="N30" i="1"/>
  <c r="M30" i="1"/>
  <c r="L30" i="1"/>
  <c r="K30" i="1"/>
  <c r="I30" i="1"/>
  <c r="H30" i="1"/>
  <c r="G30" i="1"/>
  <c r="F30" i="1"/>
  <c r="E30" i="1"/>
  <c r="D30" i="1"/>
  <c r="C30" i="1"/>
  <c r="AG29" i="1"/>
  <c r="AF29" i="1"/>
  <c r="AE29" i="1"/>
  <c r="AD29" i="1"/>
  <c r="AC29" i="1"/>
  <c r="AB29" i="1"/>
  <c r="AA29" i="1"/>
  <c r="Q29" i="1"/>
  <c r="P29" i="1"/>
  <c r="O29" i="1"/>
  <c r="N29" i="1"/>
  <c r="M29" i="1"/>
  <c r="L29" i="1"/>
  <c r="K29" i="1"/>
  <c r="I29" i="1"/>
  <c r="H29" i="1"/>
  <c r="G29" i="1"/>
  <c r="F29" i="1"/>
  <c r="E29" i="1"/>
  <c r="D29" i="1"/>
  <c r="C29" i="1"/>
  <c r="AG28" i="1"/>
  <c r="AF28" i="1"/>
  <c r="AE28" i="1"/>
  <c r="AD28" i="1"/>
  <c r="AC28" i="1"/>
  <c r="AB28" i="1"/>
  <c r="AA28" i="1"/>
  <c r="Q28" i="1"/>
  <c r="P28" i="1"/>
  <c r="O28" i="1"/>
  <c r="N28" i="1"/>
  <c r="M28" i="1"/>
  <c r="L28" i="1"/>
  <c r="K28" i="1"/>
  <c r="I28" i="1"/>
  <c r="H28" i="1"/>
  <c r="G28" i="1"/>
  <c r="F28" i="1"/>
  <c r="E28" i="1"/>
  <c r="D28" i="1"/>
  <c r="C28" i="1"/>
  <c r="AG27" i="1"/>
  <c r="AF27" i="1"/>
  <c r="AE27" i="1"/>
  <c r="AD27" i="1"/>
  <c r="AC27" i="1"/>
  <c r="AB27" i="1"/>
  <c r="AA27" i="1"/>
  <c r="Q27" i="1"/>
  <c r="P27" i="1"/>
  <c r="O27" i="1"/>
  <c r="N27" i="1"/>
  <c r="M27" i="1"/>
  <c r="L27" i="1"/>
  <c r="K27" i="1"/>
  <c r="I27" i="1"/>
  <c r="H27" i="1"/>
  <c r="G27" i="1"/>
  <c r="F27" i="1"/>
  <c r="E27" i="1"/>
  <c r="D27" i="1"/>
  <c r="C27" i="1"/>
  <c r="AG26" i="1"/>
  <c r="AF26" i="1"/>
  <c r="AE26" i="1"/>
  <c r="AD26" i="1"/>
  <c r="AC26" i="1"/>
  <c r="AB26" i="1"/>
  <c r="AA26" i="1"/>
  <c r="Q26" i="1"/>
  <c r="P26" i="1"/>
  <c r="O26" i="1"/>
  <c r="N26" i="1"/>
  <c r="M26" i="1"/>
  <c r="L26" i="1"/>
  <c r="K26" i="1"/>
  <c r="I26" i="1"/>
  <c r="H26" i="1"/>
  <c r="G26" i="1"/>
  <c r="F26" i="1"/>
  <c r="E26" i="1"/>
  <c r="D26" i="1"/>
  <c r="C26" i="1"/>
  <c r="AG25" i="1"/>
  <c r="AF25" i="1"/>
  <c r="AE25" i="1"/>
  <c r="AD25" i="1"/>
  <c r="AC25" i="1"/>
  <c r="AB25" i="1"/>
  <c r="AA25" i="1"/>
  <c r="Q25" i="1"/>
  <c r="P25" i="1"/>
  <c r="O25" i="1"/>
  <c r="N25" i="1"/>
  <c r="M25" i="1"/>
  <c r="L25" i="1"/>
  <c r="K25" i="1"/>
  <c r="I25" i="1"/>
  <c r="H25" i="1"/>
  <c r="G25" i="1"/>
  <c r="F25" i="1"/>
  <c r="E25" i="1"/>
  <c r="D25" i="1"/>
  <c r="C25" i="1"/>
  <c r="AG21" i="1"/>
  <c r="AF21" i="1"/>
  <c r="AE21" i="1"/>
  <c r="AD21" i="1"/>
  <c r="AC21" i="1"/>
  <c r="AB21" i="1"/>
  <c r="AA21" i="1"/>
  <c r="Y21" i="1"/>
  <c r="X21" i="1"/>
  <c r="W21" i="1"/>
  <c r="V21" i="1"/>
  <c r="U21" i="1"/>
  <c r="T21" i="1"/>
  <c r="S21" i="1"/>
  <c r="Q21" i="1"/>
  <c r="P21" i="1"/>
  <c r="O21" i="1"/>
  <c r="N21" i="1"/>
  <c r="M21" i="1"/>
  <c r="L21" i="1"/>
  <c r="K21" i="1"/>
  <c r="I21" i="1"/>
  <c r="H21" i="1"/>
  <c r="G21" i="1"/>
  <c r="F21" i="1"/>
  <c r="E21" i="1"/>
  <c r="D21" i="1"/>
  <c r="C21" i="1"/>
  <c r="AG20" i="1"/>
  <c r="AF20" i="1"/>
  <c r="AE20" i="1"/>
  <c r="AD20" i="1"/>
  <c r="AC20" i="1"/>
  <c r="AB20" i="1"/>
  <c r="AA20" i="1"/>
  <c r="Y20" i="1"/>
  <c r="X20" i="1"/>
  <c r="W20" i="1"/>
  <c r="V20" i="1"/>
  <c r="U20" i="1"/>
  <c r="T20" i="1"/>
  <c r="S20" i="1"/>
  <c r="Q20" i="1"/>
  <c r="P20" i="1"/>
  <c r="L20" i="1"/>
  <c r="K20" i="1"/>
  <c r="I20" i="1"/>
  <c r="H20" i="1"/>
  <c r="G20" i="1"/>
  <c r="F20" i="1"/>
  <c r="E20" i="1"/>
  <c r="D20" i="1"/>
  <c r="C20" i="1"/>
  <c r="AG19" i="1"/>
  <c r="AF19" i="1"/>
  <c r="AE19" i="1"/>
  <c r="AD19" i="1"/>
  <c r="AC19" i="1"/>
  <c r="AB19" i="1"/>
  <c r="AA19" i="1"/>
  <c r="Y19" i="1"/>
  <c r="X19" i="1"/>
  <c r="W19" i="1"/>
  <c r="V19" i="1"/>
  <c r="U19" i="1"/>
  <c r="T19" i="1"/>
  <c r="S19" i="1"/>
  <c r="Q19" i="1"/>
  <c r="P19" i="1"/>
  <c r="O19" i="1"/>
  <c r="N19" i="1"/>
  <c r="M19" i="1"/>
  <c r="L19" i="1"/>
  <c r="K19" i="1"/>
  <c r="I19" i="1"/>
  <c r="H19" i="1"/>
  <c r="G19" i="1"/>
  <c r="F19" i="1"/>
  <c r="E19" i="1"/>
  <c r="D19" i="1"/>
  <c r="C19" i="1"/>
  <c r="AG18" i="1"/>
  <c r="AF18" i="1"/>
  <c r="AE18" i="1"/>
  <c r="AD18" i="1"/>
  <c r="AC18" i="1"/>
  <c r="AB18" i="1"/>
  <c r="AA18" i="1"/>
  <c r="Y18" i="1"/>
  <c r="X18" i="1"/>
  <c r="W18" i="1"/>
  <c r="V18" i="1"/>
  <c r="U18" i="1"/>
  <c r="T18" i="1"/>
  <c r="S18" i="1"/>
  <c r="Q18" i="1"/>
  <c r="P18" i="1"/>
  <c r="O18" i="1"/>
  <c r="N18" i="1"/>
  <c r="M18" i="1"/>
  <c r="L18" i="1"/>
  <c r="K18" i="1"/>
  <c r="I18" i="1"/>
  <c r="H18" i="1"/>
  <c r="G18" i="1"/>
  <c r="F18" i="1"/>
  <c r="E18" i="1"/>
  <c r="D18" i="1"/>
  <c r="C18" i="1"/>
  <c r="AG17" i="1"/>
  <c r="AF17" i="1"/>
  <c r="AE17" i="1"/>
  <c r="AD17" i="1"/>
  <c r="AC17" i="1"/>
  <c r="AB17" i="1"/>
  <c r="AA17" i="1"/>
  <c r="Y17" i="1"/>
  <c r="X17" i="1"/>
  <c r="W17" i="1"/>
  <c r="V17" i="1"/>
  <c r="U17" i="1"/>
  <c r="T17" i="1"/>
  <c r="S17" i="1"/>
  <c r="Q17" i="1"/>
  <c r="P17" i="1"/>
  <c r="O17" i="1"/>
  <c r="N17" i="1"/>
  <c r="M17" i="1"/>
  <c r="L17" i="1"/>
  <c r="K17" i="1"/>
  <c r="I17" i="1"/>
  <c r="H17" i="1"/>
  <c r="G17" i="1"/>
  <c r="F17" i="1"/>
  <c r="E17" i="1"/>
  <c r="D17" i="1"/>
  <c r="C17" i="1"/>
  <c r="AG16" i="1"/>
  <c r="AF16" i="1"/>
  <c r="AE16" i="1"/>
  <c r="AD16" i="1"/>
  <c r="AC16" i="1"/>
  <c r="AB16" i="1"/>
  <c r="AA16" i="1"/>
  <c r="Y16" i="1"/>
  <c r="X16" i="1"/>
  <c r="W16" i="1"/>
  <c r="V16" i="1"/>
  <c r="U16" i="1"/>
  <c r="T16" i="1"/>
  <c r="S16" i="1"/>
  <c r="Q16" i="1"/>
  <c r="P16" i="1"/>
  <c r="O16" i="1"/>
  <c r="N16" i="1"/>
  <c r="M16" i="1"/>
  <c r="L16" i="1"/>
  <c r="K16" i="1"/>
  <c r="I16" i="1"/>
  <c r="H16" i="1"/>
  <c r="G16" i="1"/>
  <c r="F16" i="1"/>
  <c r="E16" i="1"/>
  <c r="D16" i="1"/>
  <c r="C16" i="1"/>
  <c r="AG12" i="1"/>
  <c r="AF12" i="1"/>
  <c r="AE12" i="1"/>
  <c r="AD12" i="1"/>
  <c r="AC12" i="1"/>
  <c r="AB12" i="1"/>
  <c r="AA12" i="1"/>
  <c r="Y12" i="1"/>
  <c r="X12" i="1"/>
  <c r="W12" i="1"/>
  <c r="V12" i="1"/>
  <c r="U12" i="1"/>
  <c r="T12" i="1"/>
  <c r="S12" i="1"/>
  <c r="Q12" i="1"/>
  <c r="P12" i="1"/>
  <c r="O12" i="1"/>
  <c r="N12" i="1"/>
  <c r="M12" i="1"/>
  <c r="L12" i="1"/>
  <c r="K12" i="1"/>
  <c r="I12" i="1"/>
  <c r="H12" i="1"/>
  <c r="G12" i="1"/>
  <c r="F12" i="1"/>
  <c r="E12" i="1"/>
  <c r="D12" i="1"/>
  <c r="C12" i="1"/>
  <c r="AG11" i="1"/>
  <c r="AF11" i="1"/>
  <c r="AE11" i="1"/>
  <c r="AD11" i="1"/>
  <c r="AC11" i="1"/>
  <c r="AB11" i="1"/>
  <c r="AA11" i="1"/>
  <c r="Y11" i="1"/>
  <c r="X11" i="1"/>
  <c r="W11" i="1"/>
  <c r="V11" i="1"/>
  <c r="U11" i="1"/>
  <c r="T11" i="1"/>
  <c r="S11" i="1"/>
  <c r="Q11" i="1"/>
  <c r="P11" i="1"/>
  <c r="O11" i="1"/>
  <c r="N11" i="1"/>
  <c r="M11" i="1"/>
  <c r="L11" i="1"/>
  <c r="K11" i="1"/>
  <c r="I11" i="1"/>
  <c r="H11" i="1"/>
  <c r="G11" i="1"/>
  <c r="F11" i="1"/>
  <c r="E11" i="1"/>
  <c r="D11" i="1"/>
  <c r="C11" i="1"/>
  <c r="AG10" i="1"/>
  <c r="AF10" i="1"/>
  <c r="AE10" i="1"/>
  <c r="AD10" i="1"/>
  <c r="AC10" i="1"/>
  <c r="AB10" i="1"/>
  <c r="AA10" i="1"/>
  <c r="Y10" i="1"/>
  <c r="X10" i="1"/>
  <c r="W10" i="1"/>
  <c r="V10" i="1"/>
  <c r="U10" i="1"/>
  <c r="T10" i="1"/>
  <c r="S10" i="1"/>
  <c r="Q10" i="1"/>
  <c r="P10" i="1"/>
  <c r="O10" i="1"/>
  <c r="N10" i="1"/>
  <c r="M10" i="1"/>
  <c r="L10" i="1"/>
  <c r="K10" i="1"/>
  <c r="I10" i="1"/>
  <c r="H10" i="1"/>
  <c r="G10" i="1"/>
  <c r="F10" i="1"/>
  <c r="E10" i="1"/>
  <c r="D10" i="1"/>
  <c r="C10" i="1"/>
  <c r="AG9" i="1"/>
  <c r="AF9" i="1"/>
  <c r="AE9" i="1"/>
  <c r="AD9" i="1"/>
  <c r="AC9" i="1"/>
  <c r="AB9" i="1"/>
  <c r="AA9" i="1"/>
  <c r="Y9" i="1"/>
  <c r="X9" i="1"/>
  <c r="W9" i="1"/>
  <c r="V9" i="1"/>
  <c r="U9" i="1"/>
  <c r="T9" i="1"/>
  <c r="S9" i="1"/>
  <c r="Q9" i="1"/>
  <c r="P9" i="1"/>
  <c r="O9" i="1"/>
  <c r="N9" i="1"/>
  <c r="M9" i="1"/>
  <c r="L9" i="1"/>
  <c r="K9" i="1"/>
  <c r="I9" i="1"/>
  <c r="H9" i="1"/>
  <c r="G9" i="1"/>
  <c r="F9" i="1"/>
  <c r="E9" i="1"/>
  <c r="D9" i="1"/>
  <c r="C9" i="1"/>
  <c r="AG8" i="1"/>
  <c r="AF8" i="1"/>
  <c r="AE8" i="1"/>
  <c r="AD8" i="1"/>
  <c r="AC8" i="1"/>
  <c r="AB8" i="1"/>
  <c r="AA8" i="1"/>
  <c r="Y8" i="1"/>
  <c r="X8" i="1"/>
  <c r="W8" i="1"/>
  <c r="V8" i="1"/>
  <c r="U8" i="1"/>
  <c r="T8" i="1"/>
  <c r="S8" i="1"/>
  <c r="Q8" i="1"/>
  <c r="P8" i="1"/>
  <c r="O8" i="1"/>
  <c r="N8" i="1"/>
  <c r="M8" i="1"/>
  <c r="L8" i="1"/>
  <c r="K8" i="1"/>
  <c r="I8" i="1"/>
  <c r="H8" i="1"/>
  <c r="G8" i="1"/>
  <c r="F8" i="1"/>
  <c r="E8" i="1"/>
  <c r="D8" i="1"/>
  <c r="C8" i="1"/>
  <c r="AG7" i="1"/>
  <c r="AF7" i="1"/>
  <c r="AE7" i="1"/>
  <c r="AD7" i="1"/>
  <c r="AC7" i="1"/>
  <c r="AB7" i="1"/>
  <c r="AA7" i="1"/>
  <c r="Y7" i="1"/>
  <c r="X7" i="1"/>
  <c r="W7" i="1"/>
  <c r="V7" i="1"/>
  <c r="U7" i="1"/>
  <c r="T7" i="1"/>
  <c r="S7" i="1"/>
  <c r="Q7" i="1"/>
  <c r="P7" i="1"/>
  <c r="O7" i="1"/>
  <c r="N7" i="1"/>
  <c r="M7" i="1"/>
  <c r="L7" i="1"/>
  <c r="K7" i="1"/>
  <c r="I7" i="1"/>
  <c r="H7" i="1"/>
  <c r="G7" i="1"/>
  <c r="F7" i="1"/>
  <c r="E7" i="1"/>
  <c r="D7" i="1"/>
  <c r="C7" i="1"/>
</calcChain>
</file>

<file path=xl/comments1.xml><?xml version="1.0" encoding="utf-8"?>
<comments xmlns="http://schemas.openxmlformats.org/spreadsheetml/2006/main">
  <authors>
    <author xml:space="preserve">   </author>
  </authors>
  <commentList>
    <comment ref="AJ3" authorId="0">
      <text>
        <r>
          <rPr>
            <b/>
            <sz val="9"/>
            <color indexed="81"/>
            <rFont val="Geneva"/>
          </rPr>
          <t>Lorsque vous cliquez sur la cellule qui affiche l’année, vous apercevez une liste contextuelle contenant des années dans laquelle vous pouvez effectuer votre sélection. Après avoir validé votre choix, le calendrier est automatiquement mis à jour.
Pour modifier les années disponibles dans cette liste, reportez-vous à la feuille Liste de recherche.
Remarque : les cellules du calendrier affichant une date et les cellules apparemment vides situées en dessous d’un mois donné contiennent toutes des formules permettant de mettre à jour automatiquement le calendrier.  Si vous modifiez manuellement le texte de ces cellules, le calendrier perdra cette fonctionnalité.</t>
        </r>
      </text>
    </comment>
    <comment ref="AJ19" authorId="0">
      <text>
        <r>
          <rPr>
            <b/>
            <sz val="9"/>
            <color indexed="81"/>
            <rFont val="Geneva"/>
          </rPr>
          <t>Personnalisez facilement l’aspect de ce calendrier : celui-ci est mis en forme par un thème, lequel vous permet d’appliquer des polices, des couleurs et des effets de mise en forme graphique à l’ensemble du classeur en seulement quelques clics.
Les thèmes se trouvent sous l’onglet Accueil, dans le groupe Thèmes. Des dizaines de thèmes prédéfinis sont disponibles dans la galerie Thèmes, où vous trouverez également des options permettant de modifier uniquement les polices ou les couleurs d’un thème.</t>
        </r>
      </text>
    </comment>
  </commentList>
</comments>
</file>

<file path=xl/comments2.xml><?xml version="1.0" encoding="utf-8"?>
<comments xmlns="http://schemas.openxmlformats.org/spreadsheetml/2006/main">
  <authors>
    <author xml:space="preserve">   </author>
  </authors>
  <commentList>
    <comment ref="C3" authorId="0">
      <text>
        <r>
          <rPr>
            <b/>
            <sz val="9"/>
            <color indexed="81"/>
            <rFont val="Geneva"/>
          </rPr>
          <t>Cette liste renvoie aux options disponibles dans la liste contextuelle des années de la feuille Calendrier. Pour ajouter d’autres années, tapez votre texte dans la cellule située juste en dessous de la dernière entrée et la liste s’agrandit automatiquement.</t>
        </r>
      </text>
    </comment>
  </commentList>
</comments>
</file>

<file path=xl/sharedStrings.xml><?xml version="1.0" encoding="utf-8"?>
<sst xmlns="http://schemas.openxmlformats.org/spreadsheetml/2006/main" count="100" uniqueCount="22">
  <si>
    <t>S</t>
  </si>
  <si>
    <t>M</t>
  </si>
  <si>
    <t>Année</t>
  </si>
  <si>
    <t>Janvier</t>
  </si>
  <si>
    <t>Février</t>
  </si>
  <si>
    <t>Mars</t>
  </si>
  <si>
    <t>Avril</t>
  </si>
  <si>
    <t>Mai</t>
  </si>
  <si>
    <t>Juin</t>
  </si>
  <si>
    <t>Juillet</t>
  </si>
  <si>
    <t>Août</t>
  </si>
  <si>
    <t>Septembre</t>
  </si>
  <si>
    <t>Octobre</t>
  </si>
  <si>
    <t>Novembre</t>
  </si>
  <si>
    <t>Décembre</t>
  </si>
  <si>
    <t>L</t>
  </si>
  <si>
    <t>D</t>
  </si>
  <si>
    <t>J</t>
  </si>
  <si>
    <t>V</t>
  </si>
  <si>
    <t>Indisponible</t>
  </si>
  <si>
    <t>3à</t>
  </si>
  <si>
    <t>Ce planing ne prends pas en compte les réservations en cours et les annulations, pour plus de précisions, contactez nous.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</si>
</sst>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
  </numFmts>
  <fonts count="10" x14ac:knownFonts="1">
    <font>
      <sz val="12"/>
      <color theme="1"/>
      <name val="Garamond"/>
      <family val="2"/>
      <scheme val="minor"/>
    </font>
    <font>
      <sz val="10"/>
      <name val="Arial"/>
      <family val="2"/>
    </font>
    <font>
      <b/>
      <sz val="12"/>
      <color theme="0"/>
      <name val="Garamond"/>
      <family val="2"/>
      <scheme val="major"/>
    </font>
    <font>
      <sz val="12"/>
      <color rgb="FF002060"/>
      <name val="Garamond"/>
      <family val="2"/>
      <scheme val="minor"/>
    </font>
    <font>
      <b/>
      <sz val="28"/>
      <color theme="0"/>
      <name val="Garamond"/>
      <family val="1"/>
      <scheme val="major"/>
    </font>
    <font>
      <b/>
      <sz val="9"/>
      <color indexed="81"/>
      <name val="Geneva"/>
    </font>
    <font>
      <sz val="8"/>
      <name val="Garamond"/>
      <family val="2"/>
      <scheme val="minor"/>
    </font>
    <font>
      <u/>
      <sz val="12"/>
      <color theme="10"/>
      <name val="Garamond"/>
      <family val="2"/>
      <scheme val="minor"/>
    </font>
    <font>
      <u/>
      <sz val="12"/>
      <color theme="11"/>
      <name val="Garamond"/>
      <family val="2"/>
      <scheme val="minor"/>
    </font>
    <font>
      <sz val="20"/>
      <color theme="1"/>
      <name val="Garamond"/>
      <scheme val="minor"/>
    </font>
  </fonts>
  <fills count="5">
    <fill>
      <patternFill patternType="none"/>
    </fill>
    <fill>
      <patternFill patternType="gray125"/>
    </fill>
    <fill>
      <patternFill patternType="solid">
        <fgColor rgb="FFFF0000"/>
        <bgColor indexed="64"/>
      </patternFill>
    </fill>
    <fill>
      <patternFill patternType="solid">
        <fgColor theme="4" tint="0.39997558519241921"/>
        <bgColor indexed="64"/>
      </patternFill>
    </fill>
    <fill>
      <patternFill patternType="solid">
        <fgColor theme="0" tint="-0.34998626667073579"/>
        <bgColor indexed="64"/>
      </patternFill>
    </fill>
  </fills>
  <borders count="13">
    <border>
      <left/>
      <right/>
      <top/>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499984740745262"/>
      </left>
      <right style="thin">
        <color theme="0" tint="-0.499984740745262"/>
      </right>
      <top/>
      <bottom style="thin">
        <color theme="0" tint="-0.499984740745262"/>
      </bottom>
      <diagonal/>
    </border>
    <border>
      <left style="thick">
        <color theme="3"/>
      </left>
      <right/>
      <top style="thick">
        <color theme="3"/>
      </top>
      <bottom/>
      <diagonal/>
    </border>
    <border>
      <left/>
      <right/>
      <top style="thick">
        <color theme="3"/>
      </top>
      <bottom/>
      <diagonal/>
    </border>
    <border>
      <left/>
      <right style="thick">
        <color theme="3"/>
      </right>
      <top style="thick">
        <color theme="3"/>
      </top>
      <bottom/>
      <diagonal/>
    </border>
    <border>
      <left style="thick">
        <color theme="3"/>
      </left>
      <right/>
      <top/>
      <bottom/>
      <diagonal/>
    </border>
    <border>
      <left/>
      <right style="thick">
        <color theme="3"/>
      </right>
      <top/>
      <bottom/>
      <diagonal/>
    </border>
    <border>
      <left style="thick">
        <color theme="3"/>
      </left>
      <right/>
      <top/>
      <bottom style="thick">
        <color theme="3"/>
      </bottom>
      <diagonal/>
    </border>
    <border>
      <left/>
      <right/>
      <top/>
      <bottom style="thick">
        <color theme="3"/>
      </bottom>
      <diagonal/>
    </border>
    <border>
      <left/>
      <right style="thick">
        <color theme="3"/>
      </right>
      <top/>
      <bottom style="thick">
        <color theme="3"/>
      </bottom>
      <diagonal/>
    </border>
  </borders>
  <cellStyleXfs count="277">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cellStyleXfs>
  <cellXfs count="38">
    <xf numFmtId="0" fontId="0" fillId="0" borderId="0" xfId="0"/>
    <xf numFmtId="0" fontId="1" fillId="0" borderId="0" xfId="0" applyFont="1"/>
    <xf numFmtId="0" fontId="0" fillId="0" borderId="0" xfId="0" applyFont="1"/>
    <xf numFmtId="0" fontId="0" fillId="0" borderId="0" xfId="0" applyBorder="1"/>
    <xf numFmtId="0" fontId="0" fillId="2" borderId="0" xfId="0" applyFont="1" applyFill="1"/>
    <xf numFmtId="0" fontId="0" fillId="3" borderId="5" xfId="0" applyFont="1" applyFill="1" applyBorder="1"/>
    <xf numFmtId="0" fontId="0" fillId="3" borderId="6" xfId="0" applyFont="1" applyFill="1" applyBorder="1"/>
    <xf numFmtId="0" fontId="0" fillId="3" borderId="7" xfId="0" applyFont="1" applyFill="1" applyBorder="1"/>
    <xf numFmtId="0" fontId="0" fillId="3" borderId="8" xfId="0" applyFont="1" applyFill="1" applyBorder="1"/>
    <xf numFmtId="0" fontId="0" fillId="3" borderId="0" xfId="0" applyFont="1" applyFill="1" applyBorder="1"/>
    <xf numFmtId="0" fontId="0" fillId="3" borderId="9" xfId="0" applyFont="1" applyFill="1" applyBorder="1"/>
    <xf numFmtId="0" fontId="0" fillId="3" borderId="1" xfId="0" applyFill="1" applyBorder="1" applyAlignment="1">
      <alignment horizontal="center"/>
    </xf>
    <xf numFmtId="0" fontId="0" fillId="3" borderId="2" xfId="0" applyFill="1" applyBorder="1" applyAlignment="1">
      <alignment horizontal="center"/>
    </xf>
    <xf numFmtId="0" fontId="0" fillId="3" borderId="3" xfId="0" applyFont="1" applyFill="1" applyBorder="1" applyAlignment="1">
      <alignment horizontal="center"/>
    </xf>
    <xf numFmtId="164" fontId="3" fillId="3" borderId="0" xfId="0" applyNumberFormat="1" applyFont="1" applyFill="1" applyBorder="1" applyAlignment="1">
      <alignment horizontal="center"/>
    </xf>
    <xf numFmtId="164" fontId="0" fillId="3" borderId="0" xfId="0" applyNumberFormat="1" applyFont="1" applyFill="1" applyBorder="1"/>
    <xf numFmtId="0" fontId="0" fillId="3" borderId="10" xfId="0" applyFont="1" applyFill="1" applyBorder="1"/>
    <xf numFmtId="0" fontId="0" fillId="3" borderId="11" xfId="0" applyFont="1" applyFill="1" applyBorder="1"/>
    <xf numFmtId="0" fontId="0" fillId="3" borderId="12" xfId="0" applyFont="1" applyFill="1" applyBorder="1"/>
    <xf numFmtId="0" fontId="0" fillId="3" borderId="0" xfId="0" applyFont="1" applyFill="1"/>
    <xf numFmtId="0" fontId="9" fillId="3" borderId="0" xfId="0" applyFont="1" applyFill="1"/>
    <xf numFmtId="164" fontId="3" fillId="4" borderId="0" xfId="0" applyNumberFormat="1" applyFont="1" applyFill="1" applyBorder="1" applyAlignment="1">
      <alignment horizontal="center"/>
    </xf>
    <xf numFmtId="0" fontId="0" fillId="4" borderId="0" xfId="0" applyFont="1" applyFill="1" applyBorder="1"/>
    <xf numFmtId="164" fontId="3" fillId="4" borderId="4" xfId="0" applyNumberFormat="1" applyFont="1" applyFill="1" applyBorder="1" applyAlignment="1">
      <alignment horizontal="center"/>
    </xf>
    <xf numFmtId="164" fontId="0" fillId="4" borderId="0" xfId="0" applyNumberFormat="1" applyFont="1" applyFill="1" applyBorder="1"/>
    <xf numFmtId="0" fontId="0" fillId="4" borderId="1" xfId="0" applyFill="1" applyBorder="1" applyAlignment="1">
      <alignment horizontal="center"/>
    </xf>
    <xf numFmtId="0" fontId="0" fillId="4" borderId="2" xfId="0" applyFill="1" applyBorder="1" applyAlignment="1">
      <alignment horizontal="center"/>
    </xf>
    <xf numFmtId="0" fontId="0" fillId="4" borderId="3" xfId="0" applyFont="1" applyFill="1" applyBorder="1" applyAlignment="1">
      <alignment horizontal="center"/>
    </xf>
    <xf numFmtId="0" fontId="0" fillId="4" borderId="9" xfId="0" applyFont="1" applyFill="1" applyBorder="1"/>
    <xf numFmtId="164" fontId="3" fillId="2" borderId="0" xfId="0" applyNumberFormat="1" applyFont="1" applyFill="1" applyBorder="1" applyAlignment="1">
      <alignment horizontal="center"/>
    </xf>
    <xf numFmtId="0" fontId="2" fillId="3" borderId="0" xfId="0" applyFont="1" applyFill="1" applyBorder="1" applyAlignment="1">
      <alignment horizontal="center"/>
    </xf>
    <xf numFmtId="0" fontId="2" fillId="4" borderId="0" xfId="0" applyFont="1" applyFill="1" applyBorder="1" applyAlignment="1">
      <alignment horizontal="center"/>
    </xf>
    <xf numFmtId="0" fontId="4" fillId="3" borderId="5" xfId="0" applyFont="1" applyFill="1" applyBorder="1" applyAlignment="1">
      <alignment horizontal="center"/>
    </xf>
    <xf numFmtId="0" fontId="4" fillId="3" borderId="6" xfId="0" applyFont="1" applyFill="1" applyBorder="1" applyAlignment="1">
      <alignment horizontal="center"/>
    </xf>
    <xf numFmtId="0" fontId="4" fillId="3" borderId="7" xfId="0" applyFont="1" applyFill="1" applyBorder="1" applyAlignment="1">
      <alignment horizontal="center"/>
    </xf>
    <xf numFmtId="0" fontId="4" fillId="3" borderId="10" xfId="0" applyFont="1" applyFill="1" applyBorder="1" applyAlignment="1">
      <alignment horizontal="center"/>
    </xf>
    <xf numFmtId="0" fontId="4" fillId="3" borderId="11" xfId="0" applyFont="1" applyFill="1" applyBorder="1" applyAlignment="1">
      <alignment horizontal="center"/>
    </xf>
    <xf numFmtId="0" fontId="4" fillId="3" borderId="12" xfId="0" applyFont="1" applyFill="1" applyBorder="1" applyAlignment="1">
      <alignment horizontal="center"/>
    </xf>
  </cellXfs>
  <cellStyles count="277">
    <cellStyle name="Lien hypertexte" xfId="1" builtinId="8" hidden="1"/>
    <cellStyle name="Lien hypertexte" xfId="3" builtinId="8" hidden="1"/>
    <cellStyle name="Lien hypertexte" xfId="5" builtinId="8" hidden="1"/>
    <cellStyle name="Lien hypertexte" xfId="7" builtinId="8" hidden="1"/>
    <cellStyle name="Lien hypertexte" xfId="9" builtinId="8" hidden="1"/>
    <cellStyle name="Lien hypertexte" xfId="11" builtinId="8" hidden="1"/>
    <cellStyle name="Lien hypertexte" xfId="13" builtinId="8" hidden="1"/>
    <cellStyle name="Lien hypertexte" xfId="15" builtinId="8" hidden="1"/>
    <cellStyle name="Lien hypertexte" xfId="17" builtinId="8" hidden="1"/>
    <cellStyle name="Lien hypertexte" xfId="19" builtinId="8" hidden="1"/>
    <cellStyle name="Lien hypertexte" xfId="21" builtinId="8" hidden="1"/>
    <cellStyle name="Lien hypertexte" xfId="23" builtinId="8" hidden="1"/>
    <cellStyle name="Lien hypertexte" xfId="25" builtinId="8" hidden="1"/>
    <cellStyle name="Lien hypertexte" xfId="27" builtinId="8" hidden="1"/>
    <cellStyle name="Lien hypertexte" xfId="29" builtinId="8" hidden="1"/>
    <cellStyle name="Lien hypertexte" xfId="31" builtinId="8" hidden="1"/>
    <cellStyle name="Lien hypertexte" xfId="33" builtinId="8" hidden="1"/>
    <cellStyle name="Lien hypertexte" xfId="35" builtinId="8" hidden="1"/>
    <cellStyle name="Lien hypertexte" xfId="37" builtinId="8" hidden="1"/>
    <cellStyle name="Lien hypertexte" xfId="39" builtinId="8" hidden="1"/>
    <cellStyle name="Lien hypertexte" xfId="41" builtinId="8" hidden="1"/>
    <cellStyle name="Lien hypertexte" xfId="43" builtinId="8" hidden="1"/>
    <cellStyle name="Lien hypertexte" xfId="45" builtinId="8" hidden="1"/>
    <cellStyle name="Lien hypertexte" xfId="47" builtinId="8" hidden="1"/>
    <cellStyle name="Lien hypertexte" xfId="49" builtinId="8" hidden="1"/>
    <cellStyle name="Lien hypertexte" xfId="51" builtinId="8" hidden="1"/>
    <cellStyle name="Lien hypertexte" xfId="53" builtinId="8" hidden="1"/>
    <cellStyle name="Lien hypertexte" xfId="55" builtinId="8" hidden="1"/>
    <cellStyle name="Lien hypertexte" xfId="57" builtinId="8" hidden="1"/>
    <cellStyle name="Lien hypertexte" xfId="59" builtinId="8" hidden="1"/>
    <cellStyle name="Lien hypertexte" xfId="61" builtinId="8" hidden="1"/>
    <cellStyle name="Lien hypertexte" xfId="63" builtinId="8" hidden="1"/>
    <cellStyle name="Lien hypertexte" xfId="65" builtinId="8" hidden="1"/>
    <cellStyle name="Lien hypertexte" xfId="67" builtinId="8" hidden="1"/>
    <cellStyle name="Lien hypertexte" xfId="69" builtinId="8" hidden="1"/>
    <cellStyle name="Lien hypertexte" xfId="71" builtinId="8" hidden="1"/>
    <cellStyle name="Lien hypertexte" xfId="73" builtinId="8" hidden="1"/>
    <cellStyle name="Lien hypertexte" xfId="75" builtinId="8" hidden="1"/>
    <cellStyle name="Lien hypertexte" xfId="77" builtinId="8" hidden="1"/>
    <cellStyle name="Lien hypertexte" xfId="79" builtinId="8" hidden="1"/>
    <cellStyle name="Lien hypertexte" xfId="81" builtinId="8" hidden="1"/>
    <cellStyle name="Lien hypertexte" xfId="83" builtinId="8" hidden="1"/>
    <cellStyle name="Lien hypertexte" xfId="85" builtinId="8" hidden="1"/>
    <cellStyle name="Lien hypertexte" xfId="87" builtinId="8" hidden="1"/>
    <cellStyle name="Lien hypertexte" xfId="89" builtinId="8" hidden="1"/>
    <cellStyle name="Lien hypertexte" xfId="91" builtinId="8" hidden="1"/>
    <cellStyle name="Lien hypertexte" xfId="93" builtinId="8" hidden="1"/>
    <cellStyle name="Lien hypertexte" xfId="95" builtinId="8" hidden="1"/>
    <cellStyle name="Lien hypertexte" xfId="97" builtinId="8" hidden="1"/>
    <cellStyle name="Lien hypertexte" xfId="99" builtinId="8" hidden="1"/>
    <cellStyle name="Lien hypertexte" xfId="101" builtinId="8" hidden="1"/>
    <cellStyle name="Lien hypertexte" xfId="103" builtinId="8" hidden="1"/>
    <cellStyle name="Lien hypertexte" xfId="105" builtinId="8" hidden="1"/>
    <cellStyle name="Lien hypertexte" xfId="107" builtinId="8" hidden="1"/>
    <cellStyle name="Lien hypertexte" xfId="109" builtinId="8" hidden="1"/>
    <cellStyle name="Lien hypertexte" xfId="111" builtinId="8" hidden="1"/>
    <cellStyle name="Lien hypertexte" xfId="113" builtinId="8" hidden="1"/>
    <cellStyle name="Lien hypertexte" xfId="115" builtinId="8" hidden="1"/>
    <cellStyle name="Lien hypertexte" xfId="117" builtinId="8" hidden="1"/>
    <cellStyle name="Lien hypertexte" xfId="119" builtinId="8" hidden="1"/>
    <cellStyle name="Lien hypertexte" xfId="121" builtinId="8" hidden="1"/>
    <cellStyle name="Lien hypertexte" xfId="123" builtinId="8" hidden="1"/>
    <cellStyle name="Lien hypertexte" xfId="125" builtinId="8" hidden="1"/>
    <cellStyle name="Lien hypertexte" xfId="127" builtinId="8" hidden="1"/>
    <cellStyle name="Lien hypertexte" xfId="129" builtinId="8" hidden="1"/>
    <cellStyle name="Lien hypertexte" xfId="131" builtinId="8" hidden="1"/>
    <cellStyle name="Lien hypertexte" xfId="133" builtinId="8" hidden="1"/>
    <cellStyle name="Lien hypertexte" xfId="135" builtinId="8" hidden="1"/>
    <cellStyle name="Lien hypertexte" xfId="137" builtinId="8" hidden="1"/>
    <cellStyle name="Lien hypertexte" xfId="139" builtinId="8" hidden="1"/>
    <cellStyle name="Lien hypertexte" xfId="141" builtinId="8" hidden="1"/>
    <cellStyle name="Lien hypertexte" xfId="143" builtinId="8" hidden="1"/>
    <cellStyle name="Lien hypertexte" xfId="145" builtinId="8" hidden="1"/>
    <cellStyle name="Lien hypertexte" xfId="147" builtinId="8" hidden="1"/>
    <cellStyle name="Lien hypertexte" xfId="149" builtinId="8" hidden="1"/>
    <cellStyle name="Lien hypertexte" xfId="151" builtinId="8" hidden="1"/>
    <cellStyle name="Lien hypertexte" xfId="153" builtinId="8" hidden="1"/>
    <cellStyle name="Lien hypertexte" xfId="155" builtinId="8" hidden="1"/>
    <cellStyle name="Lien hypertexte" xfId="157" builtinId="8" hidden="1"/>
    <cellStyle name="Lien hypertexte" xfId="159" builtinId="8" hidden="1"/>
    <cellStyle name="Lien hypertexte" xfId="161" builtinId="8" hidden="1"/>
    <cellStyle name="Lien hypertexte" xfId="163" builtinId="8" hidden="1"/>
    <cellStyle name="Lien hypertexte" xfId="165" builtinId="8" hidden="1"/>
    <cellStyle name="Lien hypertexte" xfId="167" builtinId="8" hidden="1"/>
    <cellStyle name="Lien hypertexte" xfId="169" builtinId="8" hidden="1"/>
    <cellStyle name="Lien hypertexte" xfId="171" builtinId="8" hidden="1"/>
    <cellStyle name="Lien hypertexte" xfId="173" builtinId="8" hidden="1"/>
    <cellStyle name="Lien hypertexte" xfId="175" builtinId="8" hidden="1"/>
    <cellStyle name="Lien hypertexte" xfId="177" builtinId="8" hidden="1"/>
    <cellStyle name="Lien hypertexte" xfId="179" builtinId="8" hidden="1"/>
    <cellStyle name="Lien hypertexte" xfId="181" builtinId="8" hidden="1"/>
    <cellStyle name="Lien hypertexte" xfId="183" builtinId="8" hidden="1"/>
    <cellStyle name="Lien hypertexte" xfId="185" builtinId="8" hidden="1"/>
    <cellStyle name="Lien hypertexte" xfId="187" builtinId="8" hidden="1"/>
    <cellStyle name="Lien hypertexte" xfId="189" builtinId="8" hidden="1"/>
    <cellStyle name="Lien hypertexte" xfId="191" builtinId="8" hidden="1"/>
    <cellStyle name="Lien hypertexte" xfId="193" builtinId="8" hidden="1"/>
    <cellStyle name="Lien hypertexte" xfId="195" builtinId="8" hidden="1"/>
    <cellStyle name="Lien hypertexte" xfId="197" builtinId="8" hidden="1"/>
    <cellStyle name="Lien hypertexte" xfId="199" builtinId="8" hidden="1"/>
    <cellStyle name="Lien hypertexte" xfId="201" builtinId="8" hidden="1"/>
    <cellStyle name="Lien hypertexte" xfId="203" builtinId="8" hidden="1"/>
    <cellStyle name="Lien hypertexte" xfId="205" builtinId="8" hidden="1"/>
    <cellStyle name="Lien hypertexte" xfId="207" builtinId="8" hidden="1"/>
    <cellStyle name="Lien hypertexte" xfId="209" builtinId="8" hidden="1"/>
    <cellStyle name="Lien hypertexte" xfId="211" builtinId="8" hidden="1"/>
    <cellStyle name="Lien hypertexte" xfId="213" builtinId="8" hidden="1"/>
    <cellStyle name="Lien hypertexte" xfId="215" builtinId="8" hidden="1"/>
    <cellStyle name="Lien hypertexte" xfId="217" builtinId="8" hidden="1"/>
    <cellStyle name="Lien hypertexte" xfId="219" builtinId="8" hidden="1"/>
    <cellStyle name="Lien hypertexte" xfId="221" builtinId="8" hidden="1"/>
    <cellStyle name="Lien hypertexte" xfId="223" builtinId="8" hidden="1"/>
    <cellStyle name="Lien hypertexte" xfId="225" builtinId="8" hidden="1"/>
    <cellStyle name="Lien hypertexte" xfId="227" builtinId="8" hidden="1"/>
    <cellStyle name="Lien hypertexte" xfId="229" builtinId="8" hidden="1"/>
    <cellStyle name="Lien hypertexte" xfId="231" builtinId="8" hidden="1"/>
    <cellStyle name="Lien hypertexte" xfId="233" builtinId="8" hidden="1"/>
    <cellStyle name="Lien hypertexte" xfId="235" builtinId="8" hidden="1"/>
    <cellStyle name="Lien hypertexte" xfId="237" builtinId="8" hidden="1"/>
    <cellStyle name="Lien hypertexte" xfId="239" builtinId="8" hidden="1"/>
    <cellStyle name="Lien hypertexte" xfId="241" builtinId="8" hidden="1"/>
    <cellStyle name="Lien hypertexte" xfId="243" builtinId="8" hidden="1"/>
    <cellStyle name="Lien hypertexte" xfId="245" builtinId="8" hidden="1"/>
    <cellStyle name="Lien hypertexte" xfId="247" builtinId="8" hidden="1"/>
    <cellStyle name="Lien hypertexte" xfId="249" builtinId="8" hidden="1"/>
    <cellStyle name="Lien hypertexte" xfId="251" builtinId="8" hidden="1"/>
    <cellStyle name="Lien hypertexte" xfId="253" builtinId="8" hidden="1"/>
    <cellStyle name="Lien hypertexte" xfId="255" builtinId="8" hidden="1"/>
    <cellStyle name="Lien hypertexte" xfId="257" builtinId="8" hidden="1"/>
    <cellStyle name="Lien hypertexte" xfId="259" builtinId="8" hidden="1"/>
    <cellStyle name="Lien hypertexte" xfId="261" builtinId="8" hidden="1"/>
    <cellStyle name="Lien hypertexte" xfId="263" builtinId="8" hidden="1"/>
    <cellStyle name="Lien hypertexte" xfId="265" builtinId="8" hidden="1"/>
    <cellStyle name="Lien hypertexte" xfId="267" builtinId="8" hidden="1"/>
    <cellStyle name="Lien hypertexte" xfId="269" builtinId="8" hidden="1"/>
    <cellStyle name="Lien hypertexte" xfId="271" builtinId="8" hidden="1"/>
    <cellStyle name="Lien hypertexte" xfId="273" builtinId="8" hidden="1"/>
    <cellStyle name="Lien hypertexte" xfId="275" builtinId="8" hidden="1"/>
    <cellStyle name="Lien hypertexte visité" xfId="2" builtinId="9" hidden="1"/>
    <cellStyle name="Lien hypertexte visité" xfId="4" builtinId="9" hidden="1"/>
    <cellStyle name="Lien hypertexte visité" xfId="6" builtinId="9" hidden="1"/>
    <cellStyle name="Lien hypertexte visité" xfId="8" builtinId="9" hidden="1"/>
    <cellStyle name="Lien hypertexte visité" xfId="10" builtinId="9" hidden="1"/>
    <cellStyle name="Lien hypertexte visité" xfId="12" builtinId="9" hidden="1"/>
    <cellStyle name="Lien hypertexte visité" xfId="14" builtinId="9" hidden="1"/>
    <cellStyle name="Lien hypertexte visité" xfId="16" builtinId="9" hidden="1"/>
    <cellStyle name="Lien hypertexte visité" xfId="18" builtinId="9" hidden="1"/>
    <cellStyle name="Lien hypertexte visité" xfId="20" builtinId="9" hidden="1"/>
    <cellStyle name="Lien hypertexte visité" xfId="22" builtinId="9" hidden="1"/>
    <cellStyle name="Lien hypertexte visité" xfId="24" builtinId="9" hidden="1"/>
    <cellStyle name="Lien hypertexte visité" xfId="26" builtinId="9" hidden="1"/>
    <cellStyle name="Lien hypertexte visité" xfId="28" builtinId="9" hidden="1"/>
    <cellStyle name="Lien hypertexte visité" xfId="30" builtinId="9" hidden="1"/>
    <cellStyle name="Lien hypertexte visité" xfId="32" builtinId="9" hidden="1"/>
    <cellStyle name="Lien hypertexte visité" xfId="34" builtinId="9" hidden="1"/>
    <cellStyle name="Lien hypertexte visité" xfId="36" builtinId="9" hidden="1"/>
    <cellStyle name="Lien hypertexte visité" xfId="38" builtinId="9" hidden="1"/>
    <cellStyle name="Lien hypertexte visité" xfId="40" builtinId="9" hidden="1"/>
    <cellStyle name="Lien hypertexte visité" xfId="42" builtinId="9" hidden="1"/>
    <cellStyle name="Lien hypertexte visité" xfId="44" builtinId="9" hidden="1"/>
    <cellStyle name="Lien hypertexte visité" xfId="46" builtinId="9" hidden="1"/>
    <cellStyle name="Lien hypertexte visité" xfId="48" builtinId="9" hidden="1"/>
    <cellStyle name="Lien hypertexte visité" xfId="50" builtinId="9" hidden="1"/>
    <cellStyle name="Lien hypertexte visité" xfId="52" builtinId="9" hidden="1"/>
    <cellStyle name="Lien hypertexte visité" xfId="54" builtinId="9" hidden="1"/>
    <cellStyle name="Lien hypertexte visité" xfId="56" builtinId="9" hidden="1"/>
    <cellStyle name="Lien hypertexte visité" xfId="58" builtinId="9" hidden="1"/>
    <cellStyle name="Lien hypertexte visité" xfId="60" builtinId="9" hidden="1"/>
    <cellStyle name="Lien hypertexte visité" xfId="62" builtinId="9" hidden="1"/>
    <cellStyle name="Lien hypertexte visité" xfId="64" builtinId="9" hidden="1"/>
    <cellStyle name="Lien hypertexte visité" xfId="66" builtinId="9" hidden="1"/>
    <cellStyle name="Lien hypertexte visité" xfId="68" builtinId="9" hidden="1"/>
    <cellStyle name="Lien hypertexte visité" xfId="70" builtinId="9" hidden="1"/>
    <cellStyle name="Lien hypertexte visité" xfId="72" builtinId="9" hidden="1"/>
    <cellStyle name="Lien hypertexte visité" xfId="74" builtinId="9" hidden="1"/>
    <cellStyle name="Lien hypertexte visité" xfId="76" builtinId="9" hidden="1"/>
    <cellStyle name="Lien hypertexte visité" xfId="78" builtinId="9" hidden="1"/>
    <cellStyle name="Lien hypertexte visité" xfId="80" builtinId="9" hidden="1"/>
    <cellStyle name="Lien hypertexte visité" xfId="82" builtinId="9" hidden="1"/>
    <cellStyle name="Lien hypertexte visité" xfId="84" builtinId="9" hidden="1"/>
    <cellStyle name="Lien hypertexte visité" xfId="86" builtinId="9" hidden="1"/>
    <cellStyle name="Lien hypertexte visité" xfId="88" builtinId="9" hidden="1"/>
    <cellStyle name="Lien hypertexte visité" xfId="90" builtinId="9" hidden="1"/>
    <cellStyle name="Lien hypertexte visité" xfId="92" builtinId="9" hidden="1"/>
    <cellStyle name="Lien hypertexte visité" xfId="94" builtinId="9" hidden="1"/>
    <cellStyle name="Lien hypertexte visité" xfId="96" builtinId="9" hidden="1"/>
    <cellStyle name="Lien hypertexte visité" xfId="98" builtinId="9" hidden="1"/>
    <cellStyle name="Lien hypertexte visité" xfId="100" builtinId="9" hidden="1"/>
    <cellStyle name="Lien hypertexte visité" xfId="102" builtinId="9" hidden="1"/>
    <cellStyle name="Lien hypertexte visité" xfId="104" builtinId="9" hidden="1"/>
    <cellStyle name="Lien hypertexte visité" xfId="106" builtinId="9" hidden="1"/>
    <cellStyle name="Lien hypertexte visité" xfId="108" builtinId="9" hidden="1"/>
    <cellStyle name="Lien hypertexte visité" xfId="110" builtinId="9" hidden="1"/>
    <cellStyle name="Lien hypertexte visité" xfId="112" builtinId="9" hidden="1"/>
    <cellStyle name="Lien hypertexte visité" xfId="114" builtinId="9" hidden="1"/>
    <cellStyle name="Lien hypertexte visité" xfId="116" builtinId="9" hidden="1"/>
    <cellStyle name="Lien hypertexte visité" xfId="118" builtinId="9" hidden="1"/>
    <cellStyle name="Lien hypertexte visité" xfId="120" builtinId="9" hidden="1"/>
    <cellStyle name="Lien hypertexte visité" xfId="122" builtinId="9" hidden="1"/>
    <cellStyle name="Lien hypertexte visité" xfId="124" builtinId="9" hidden="1"/>
    <cellStyle name="Lien hypertexte visité" xfId="126" builtinId="9" hidden="1"/>
    <cellStyle name="Lien hypertexte visité" xfId="128" builtinId="9" hidden="1"/>
    <cellStyle name="Lien hypertexte visité" xfId="130" builtinId="9" hidden="1"/>
    <cellStyle name="Lien hypertexte visité" xfId="132" builtinId="9" hidden="1"/>
    <cellStyle name="Lien hypertexte visité" xfId="134" builtinId="9" hidden="1"/>
    <cellStyle name="Lien hypertexte visité" xfId="136" builtinId="9" hidden="1"/>
    <cellStyle name="Lien hypertexte visité" xfId="138" builtinId="9" hidden="1"/>
    <cellStyle name="Lien hypertexte visité" xfId="140" builtinId="9" hidden="1"/>
    <cellStyle name="Lien hypertexte visité" xfId="142" builtinId="9" hidden="1"/>
    <cellStyle name="Lien hypertexte visité" xfId="144" builtinId="9" hidden="1"/>
    <cellStyle name="Lien hypertexte visité" xfId="146" builtinId="9" hidden="1"/>
    <cellStyle name="Lien hypertexte visité" xfId="148" builtinId="9" hidden="1"/>
    <cellStyle name="Lien hypertexte visité" xfId="150" builtinId="9" hidden="1"/>
    <cellStyle name="Lien hypertexte visité" xfId="152" builtinId="9" hidden="1"/>
    <cellStyle name="Lien hypertexte visité" xfId="154" builtinId="9" hidden="1"/>
    <cellStyle name="Lien hypertexte visité" xfId="156" builtinId="9" hidden="1"/>
    <cellStyle name="Lien hypertexte visité" xfId="158" builtinId="9" hidden="1"/>
    <cellStyle name="Lien hypertexte visité" xfId="160" builtinId="9" hidden="1"/>
    <cellStyle name="Lien hypertexte visité" xfId="162" builtinId="9" hidden="1"/>
    <cellStyle name="Lien hypertexte visité" xfId="164" builtinId="9" hidden="1"/>
    <cellStyle name="Lien hypertexte visité" xfId="166" builtinId="9" hidden="1"/>
    <cellStyle name="Lien hypertexte visité" xfId="168" builtinId="9" hidden="1"/>
    <cellStyle name="Lien hypertexte visité" xfId="170" builtinId="9" hidden="1"/>
    <cellStyle name="Lien hypertexte visité" xfId="172" builtinId="9" hidden="1"/>
    <cellStyle name="Lien hypertexte visité" xfId="174" builtinId="9" hidden="1"/>
    <cellStyle name="Lien hypertexte visité" xfId="176" builtinId="9" hidden="1"/>
    <cellStyle name="Lien hypertexte visité" xfId="178" builtinId="9" hidden="1"/>
    <cellStyle name="Lien hypertexte visité" xfId="180" builtinId="9" hidden="1"/>
    <cellStyle name="Lien hypertexte visité" xfId="182" builtinId="9" hidden="1"/>
    <cellStyle name="Lien hypertexte visité" xfId="184" builtinId="9" hidden="1"/>
    <cellStyle name="Lien hypertexte visité" xfId="186" builtinId="9" hidden="1"/>
    <cellStyle name="Lien hypertexte visité" xfId="188" builtinId="9" hidden="1"/>
    <cellStyle name="Lien hypertexte visité" xfId="190" builtinId="9" hidden="1"/>
    <cellStyle name="Lien hypertexte visité" xfId="192" builtinId="9" hidden="1"/>
    <cellStyle name="Lien hypertexte visité" xfId="194" builtinId="9" hidden="1"/>
    <cellStyle name="Lien hypertexte visité" xfId="196" builtinId="9" hidden="1"/>
    <cellStyle name="Lien hypertexte visité" xfId="198" builtinId="9" hidden="1"/>
    <cellStyle name="Lien hypertexte visité" xfId="200" builtinId="9" hidden="1"/>
    <cellStyle name="Lien hypertexte visité" xfId="202" builtinId="9" hidden="1"/>
    <cellStyle name="Lien hypertexte visité" xfId="204" builtinId="9" hidden="1"/>
    <cellStyle name="Lien hypertexte visité" xfId="206" builtinId="9" hidden="1"/>
    <cellStyle name="Lien hypertexte visité" xfId="208" builtinId="9" hidden="1"/>
    <cellStyle name="Lien hypertexte visité" xfId="210" builtinId="9" hidden="1"/>
    <cellStyle name="Lien hypertexte visité" xfId="212" builtinId="9" hidden="1"/>
    <cellStyle name="Lien hypertexte visité" xfId="214" builtinId="9" hidden="1"/>
    <cellStyle name="Lien hypertexte visité" xfId="216" builtinId="9" hidden="1"/>
    <cellStyle name="Lien hypertexte visité" xfId="218" builtinId="9" hidden="1"/>
    <cellStyle name="Lien hypertexte visité" xfId="220" builtinId="9" hidden="1"/>
    <cellStyle name="Lien hypertexte visité" xfId="222" builtinId="9" hidden="1"/>
    <cellStyle name="Lien hypertexte visité" xfId="224" builtinId="9" hidden="1"/>
    <cellStyle name="Lien hypertexte visité" xfId="226" builtinId="9" hidden="1"/>
    <cellStyle name="Lien hypertexte visité" xfId="228" builtinId="9" hidden="1"/>
    <cellStyle name="Lien hypertexte visité" xfId="230" builtinId="9" hidden="1"/>
    <cellStyle name="Lien hypertexte visité" xfId="232" builtinId="9" hidden="1"/>
    <cellStyle name="Lien hypertexte visité" xfId="234" builtinId="9" hidden="1"/>
    <cellStyle name="Lien hypertexte visité" xfId="236" builtinId="9" hidden="1"/>
    <cellStyle name="Lien hypertexte visité" xfId="238" builtinId="9" hidden="1"/>
    <cellStyle name="Lien hypertexte visité" xfId="240" builtinId="9" hidden="1"/>
    <cellStyle name="Lien hypertexte visité" xfId="242" builtinId="9" hidden="1"/>
    <cellStyle name="Lien hypertexte visité" xfId="244" builtinId="9" hidden="1"/>
    <cellStyle name="Lien hypertexte visité" xfId="246" builtinId="9" hidden="1"/>
    <cellStyle name="Lien hypertexte visité" xfId="248" builtinId="9" hidden="1"/>
    <cellStyle name="Lien hypertexte visité" xfId="250" builtinId="9" hidden="1"/>
    <cellStyle name="Lien hypertexte visité" xfId="252" builtinId="9" hidden="1"/>
    <cellStyle name="Lien hypertexte visité" xfId="254" builtinId="9" hidden="1"/>
    <cellStyle name="Lien hypertexte visité" xfId="256" builtinId="9" hidden="1"/>
    <cellStyle name="Lien hypertexte visité" xfId="258" builtinId="9" hidden="1"/>
    <cellStyle name="Lien hypertexte visité" xfId="260" builtinId="9" hidden="1"/>
    <cellStyle name="Lien hypertexte visité" xfId="262" builtinId="9" hidden="1"/>
    <cellStyle name="Lien hypertexte visité" xfId="264" builtinId="9" hidden="1"/>
    <cellStyle name="Lien hypertexte visité" xfId="266" builtinId="9" hidden="1"/>
    <cellStyle name="Lien hypertexte visité" xfId="268" builtinId="9" hidden="1"/>
    <cellStyle name="Lien hypertexte visité" xfId="270" builtinId="9" hidden="1"/>
    <cellStyle name="Lien hypertexte visité" xfId="272" builtinId="9" hidden="1"/>
    <cellStyle name="Lien hypertexte visité" xfId="274" builtinId="9" hidden="1"/>
    <cellStyle name="Lien hypertexte visité" xfId="276" builtinId="9" hidden="1"/>
    <cellStyle name="Normal" xfId="0" builtinId="0" customBuiltin="1"/>
  </cellStyles>
  <dxfs count="3">
    <dxf>
      <font>
        <b val="0"/>
        <i val="0"/>
        <strike val="0"/>
        <condense val="0"/>
        <extend val="0"/>
        <outline val="0"/>
        <shadow val="0"/>
        <u val="none"/>
        <vertAlign val="baseline"/>
        <sz val="10"/>
        <color auto="1"/>
        <name val="Arial"/>
        <scheme val="none"/>
      </font>
    </dxf>
    <dxf>
      <border>
        <left/>
        <right/>
        <top/>
        <bottom/>
        <vertical/>
        <horizontal/>
      </border>
    </dxf>
    <dxf>
      <font>
        <color theme="0"/>
      </font>
      <fill>
        <patternFill patternType="solid">
          <fgColor theme="0"/>
          <bgColor theme="0"/>
        </patternFill>
      </fill>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6"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ables/table1.xml><?xml version="1.0" encoding="utf-8"?>
<table xmlns="http://schemas.openxmlformats.org/spreadsheetml/2006/main" id="1" name="YearLookupList" displayName="YearLookupList" ref="A1:A10" totalsRowShown="0" headerRowDxfId="0">
  <autoFilter ref="A1:A10"/>
  <tableColumns count="1">
    <tableColumn id="1" name="Année"/>
  </tableColumns>
  <tableStyleInfo name="TableStyleLight3" showFirstColumn="0" showLastColumn="0" showRowStripes="1" showColumnStripes="0"/>
</table>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BlackTie">
  <a:themeElements>
    <a:clrScheme name="BlackTie">
      <a:dk1>
        <a:srgbClr val="000000"/>
      </a:dk1>
      <a:lt1>
        <a:srgbClr val="FFFFFF"/>
      </a:lt1>
      <a:dk2>
        <a:srgbClr val="46464A"/>
      </a:dk2>
      <a:lt2>
        <a:srgbClr val="E3DCCF"/>
      </a:lt2>
      <a:accent1>
        <a:srgbClr val="6F6F74"/>
      </a:accent1>
      <a:accent2>
        <a:srgbClr val="A7B789"/>
      </a:accent2>
      <a:accent3>
        <a:srgbClr val="BEAE98"/>
      </a:accent3>
      <a:accent4>
        <a:srgbClr val="92A9B9"/>
      </a:accent4>
      <a:accent5>
        <a:srgbClr val="9C8265"/>
      </a:accent5>
      <a:accent6>
        <a:srgbClr val="8D6974"/>
      </a:accent6>
      <a:hlink>
        <a:srgbClr val="67AABF"/>
      </a:hlink>
      <a:folHlink>
        <a:srgbClr val="B1B5AB"/>
      </a:folHlink>
    </a:clrScheme>
    <a:fontScheme name="BlackTie">
      <a:majorFont>
        <a:latin typeface="Garamond"/>
        <a:ea typeface=""/>
        <a:cs typeface=""/>
        <a:font script="Grek" typeface="Constantia"/>
        <a:font script="Cyrl" typeface="Constantia"/>
        <a:font script="Jpan" typeface="ＭＳ Ｐ明朝"/>
        <a:font script="Hang" typeface="궁서"/>
        <a:font script="Hans" typeface="仿宋"/>
        <a:font script="Hant" typeface="標楷體"/>
        <a:font script="Arab" typeface="Times New Roman"/>
        <a:font script="Hebr" typeface="Times New Roman"/>
        <a:font script="Thai" typeface="Angsan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Garamond"/>
        <a:ea typeface=""/>
        <a:cs typeface=""/>
        <a:font script="Grek" typeface="Constantia"/>
        <a:font script="Cyrl" typeface="Constantia"/>
        <a:font script="Jpan" typeface="ＭＳ Ｐ明朝"/>
        <a:font script="Hang" typeface="궁서"/>
        <a:font script="Hans" typeface="仿宋"/>
        <a:font script="Hant" typeface="標楷體"/>
        <a:font script="Arab" typeface="Times New Roman"/>
        <a:font script="Hebr" typeface="Times New Roman"/>
        <a:font script="Thai" typeface="Angsan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inorFont>
    </a:fontScheme>
    <a:fmtScheme name="BlackTie">
      <a:fillStyleLst>
        <a:solidFill>
          <a:schemeClr val="phClr"/>
        </a:solidFill>
        <a:gradFill rotWithShape="1">
          <a:gsLst>
            <a:gs pos="0">
              <a:schemeClr val="phClr">
                <a:tint val="45000"/>
                <a:satMod val="220000"/>
              </a:schemeClr>
            </a:gs>
            <a:gs pos="30000">
              <a:schemeClr val="phClr">
                <a:tint val="61000"/>
                <a:satMod val="220000"/>
              </a:schemeClr>
            </a:gs>
            <a:gs pos="45000">
              <a:schemeClr val="phClr">
                <a:tint val="66000"/>
                <a:satMod val="240000"/>
              </a:schemeClr>
            </a:gs>
            <a:gs pos="55000">
              <a:schemeClr val="phClr">
                <a:tint val="66000"/>
                <a:satMod val="220000"/>
              </a:schemeClr>
            </a:gs>
            <a:gs pos="73000">
              <a:schemeClr val="phClr">
                <a:tint val="61000"/>
                <a:satMod val="220000"/>
              </a:schemeClr>
            </a:gs>
            <a:gs pos="100000">
              <a:schemeClr val="phClr">
                <a:tint val="45000"/>
                <a:satMod val="220000"/>
              </a:schemeClr>
            </a:gs>
          </a:gsLst>
          <a:lin ang="950000" scaled="1"/>
        </a:gradFill>
        <a:gradFill rotWithShape="1">
          <a:gsLst>
            <a:gs pos="0">
              <a:schemeClr val="phClr">
                <a:shade val="63000"/>
                <a:satMod val="110000"/>
              </a:schemeClr>
            </a:gs>
            <a:gs pos="30000">
              <a:schemeClr val="phClr">
                <a:shade val="90000"/>
                <a:satMod val="120000"/>
              </a:schemeClr>
            </a:gs>
            <a:gs pos="45000">
              <a:schemeClr val="phClr">
                <a:shade val="100000"/>
                <a:satMod val="128000"/>
              </a:schemeClr>
            </a:gs>
            <a:gs pos="55000">
              <a:schemeClr val="phClr">
                <a:shade val="100000"/>
                <a:satMod val="128000"/>
              </a:schemeClr>
            </a:gs>
            <a:gs pos="73000">
              <a:schemeClr val="phClr">
                <a:shade val="90000"/>
                <a:satMod val="120000"/>
              </a:schemeClr>
            </a:gs>
            <a:gs pos="100000">
              <a:schemeClr val="phClr">
                <a:shade val="63000"/>
                <a:satMod val="110000"/>
              </a:schemeClr>
            </a:gs>
          </a:gsLst>
          <a:lin ang="950000" scaled="1"/>
        </a:gradFill>
      </a:fillStyleLst>
      <a:lnStyleLst>
        <a:ln w="9525" cap="flat" cmpd="sng" algn="ctr">
          <a:solidFill>
            <a:schemeClr val="phClr"/>
          </a:solidFill>
          <a:prstDash val="solid"/>
        </a:ln>
        <a:ln w="19050" cap="flat" cmpd="sng" algn="ctr">
          <a:solidFill>
            <a:schemeClr val="phClr"/>
          </a:solidFill>
          <a:prstDash val="solid"/>
        </a:ln>
        <a:ln w="53975" cap="flat" cmpd="dbl" algn="ctr">
          <a:solidFill>
            <a:schemeClr val="phClr"/>
          </a:solidFill>
          <a:prstDash val="solid"/>
        </a:ln>
      </a:lnStyleLst>
      <a:effectStyleLst>
        <a:effectStyle>
          <a:effectLst>
            <a:outerShdw blurRad="38100" dist="25400" dir="5400000" rotWithShape="0">
              <a:srgbClr val="000000">
                <a:alpha val="40000"/>
              </a:srgbClr>
            </a:outerShdw>
          </a:effectLst>
        </a:effectStyle>
        <a:effectStyle>
          <a:effectLst>
            <a:outerShdw blurRad="50800" dist="41909" dir="5400000" rotWithShape="0">
              <a:srgbClr val="000000">
                <a:alpha val="40000"/>
              </a:srgbClr>
            </a:outerShdw>
          </a:effectLst>
        </a:effectStyle>
        <a:effectStyle>
          <a:effectLst>
            <a:outerShdw blurRad="57150" dist="38100" dir="5400000" algn="br" rotWithShape="0">
              <a:srgbClr val="000000">
                <a:alpha val="57000"/>
              </a:srgbClr>
            </a:outerShdw>
          </a:effectLst>
          <a:scene3d>
            <a:camera prst="orthographicFront">
              <a:rot lat="0" lon="0" rev="0"/>
            </a:camera>
            <a:lightRig rig="twoPt" dir="t">
              <a:rot lat="0" lon="0" rev="1800000"/>
            </a:lightRig>
          </a:scene3d>
          <a:sp3d>
            <a:bevelT w="44450" h="31750" prst="coolSlant"/>
          </a:sp3d>
        </a:effectStyle>
      </a:effectStyleLst>
      <a:bgFillStyleLst>
        <a:solidFill>
          <a:schemeClr val="phClr"/>
        </a:solidFill>
        <a:blipFill rotWithShape="1">
          <a:blip xmlns:r="http://schemas.openxmlformats.org/officeDocument/2006/relationships" r:embed="rId1">
            <a:duotone>
              <a:schemeClr val="phClr">
                <a:tint val="95000"/>
              </a:schemeClr>
              <a:schemeClr val="phClr">
                <a:shade val="20000"/>
              </a:schemeClr>
            </a:duotone>
          </a:blip>
          <a:stretch/>
        </a:blipFill>
        <a:gradFill rotWithShape="1">
          <a:gsLst>
            <a:gs pos="0">
              <a:schemeClr val="phClr">
                <a:tint val="40000"/>
                <a:satMod val="350000"/>
              </a:schemeClr>
            </a:gs>
            <a:gs pos="40000">
              <a:schemeClr val="phClr">
                <a:tint val="45000"/>
                <a:shade val="99000"/>
                <a:satMod val="350000"/>
              </a:schemeClr>
            </a:gs>
            <a:gs pos="100000">
              <a:schemeClr val="phClr">
                <a:shade val="30000"/>
                <a:satMod val="255000"/>
              </a:schemeClr>
            </a:gs>
          </a:gsLst>
          <a:path path="circle">
            <a:fillToRect l="50000" t="-80000" r="50000" b="18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vmlDrawing" Target="../drawings/vmlDrawing2.vml"/><Relationship Id="rId2" Type="http://schemas.openxmlformats.org/officeDocument/2006/relationships/table" Target="../tables/table1.xml"/><Relationship Id="rId3"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pageSetUpPr fitToPage="1"/>
  </sheetPr>
  <dimension ref="B1:AJ37"/>
  <sheetViews>
    <sheetView showGridLines="0" tabSelected="1" view="pageLayout" topLeftCell="A2" zoomScale="70" zoomScaleNormal="70" zoomScalePageLayoutView="70" workbookViewId="0">
      <selection activeCell="B2" sqref="B2:AH37"/>
    </sheetView>
  </sheetViews>
  <sheetFormatPr baseColWidth="10" defaultColWidth="8.83203125" defaultRowHeight="14" x14ac:dyDescent="0"/>
  <cols>
    <col min="1" max="1" width="1" style="2" customWidth="1"/>
    <col min="2" max="2" width="2.1640625" style="2" customWidth="1"/>
    <col min="3" max="9" width="4.33203125" style="2" customWidth="1"/>
    <col min="10" max="10" width="2.1640625" style="2" customWidth="1"/>
    <col min="11" max="17" width="4.33203125" style="2" customWidth="1"/>
    <col min="18" max="18" width="2.1640625" style="2" customWidth="1"/>
    <col min="19" max="25" width="4.33203125" style="2" customWidth="1"/>
    <col min="26" max="26" width="2.1640625" style="2" customWidth="1"/>
    <col min="27" max="33" width="4.33203125" style="2" customWidth="1"/>
    <col min="34" max="34" width="2.1640625" style="2" customWidth="1"/>
    <col min="35" max="16384" width="8.83203125" style="2"/>
  </cols>
  <sheetData>
    <row r="1" spans="2:36" ht="3" customHeight="1" thickBot="1"/>
    <row r="2" spans="2:36" ht="27" customHeight="1" thickTop="1">
      <c r="B2" s="32">
        <v>2015</v>
      </c>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4"/>
    </row>
    <row r="3" spans="2:36" ht="9" customHeight="1" thickBot="1">
      <c r="B3" s="35"/>
      <c r="C3" s="36"/>
      <c r="D3" s="36"/>
      <c r="E3" s="36"/>
      <c r="F3" s="36"/>
      <c r="G3" s="36"/>
      <c r="H3" s="36"/>
      <c r="I3" s="36"/>
      <c r="J3" s="36"/>
      <c r="K3" s="36"/>
      <c r="L3" s="36"/>
      <c r="M3" s="36"/>
      <c r="N3" s="36"/>
      <c r="O3" s="36"/>
      <c r="P3" s="36"/>
      <c r="Q3" s="36"/>
      <c r="R3" s="36"/>
      <c r="S3" s="36"/>
      <c r="T3" s="36"/>
      <c r="U3" s="36"/>
      <c r="V3" s="36"/>
      <c r="W3" s="36"/>
      <c r="X3" s="36"/>
      <c r="Y3" s="36"/>
      <c r="Z3" s="36"/>
      <c r="AA3" s="36"/>
      <c r="AB3" s="36"/>
      <c r="AC3" s="36"/>
      <c r="AD3" s="36"/>
      <c r="AE3" s="36"/>
      <c r="AF3" s="36"/>
      <c r="AG3" s="36"/>
      <c r="AH3" s="37"/>
    </row>
    <row r="4" spans="2:36" ht="14.25" customHeight="1" thickTop="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7"/>
    </row>
    <row r="5" spans="2:36">
      <c r="B5" s="8"/>
      <c r="C5" s="30" t="s">
        <v>3</v>
      </c>
      <c r="D5" s="30"/>
      <c r="E5" s="30"/>
      <c r="F5" s="30"/>
      <c r="G5" s="30"/>
      <c r="H5" s="30"/>
      <c r="I5" s="30"/>
      <c r="J5" s="9"/>
      <c r="K5" s="30" t="s">
        <v>6</v>
      </c>
      <c r="L5" s="30"/>
      <c r="M5" s="30"/>
      <c r="N5" s="30"/>
      <c r="O5" s="30"/>
      <c r="P5" s="30"/>
      <c r="Q5" s="30"/>
      <c r="R5" s="9"/>
      <c r="S5" s="30" t="s">
        <v>9</v>
      </c>
      <c r="T5" s="30"/>
      <c r="U5" s="30"/>
      <c r="V5" s="30"/>
      <c r="W5" s="30"/>
      <c r="X5" s="30"/>
      <c r="Y5" s="30"/>
      <c r="Z5" s="9"/>
      <c r="AA5" s="30" t="s">
        <v>12</v>
      </c>
      <c r="AB5" s="30"/>
      <c r="AC5" s="30"/>
      <c r="AD5" s="30"/>
      <c r="AE5" s="30"/>
      <c r="AF5" s="30"/>
      <c r="AG5" s="30"/>
      <c r="AH5" s="10"/>
    </row>
    <row r="6" spans="2:36">
      <c r="B6" s="8"/>
      <c r="C6" s="11" t="s">
        <v>16</v>
      </c>
      <c r="D6" s="12" t="s">
        <v>15</v>
      </c>
      <c r="E6" s="12" t="s">
        <v>1</v>
      </c>
      <c r="F6" s="12" t="s">
        <v>1</v>
      </c>
      <c r="G6" s="12" t="s">
        <v>17</v>
      </c>
      <c r="H6" s="12" t="s">
        <v>18</v>
      </c>
      <c r="I6" s="13" t="s">
        <v>0</v>
      </c>
      <c r="J6" s="9"/>
      <c r="K6" s="11" t="s">
        <v>16</v>
      </c>
      <c r="L6" s="12" t="s">
        <v>15</v>
      </c>
      <c r="M6" s="12" t="s">
        <v>1</v>
      </c>
      <c r="N6" s="26" t="s">
        <v>1</v>
      </c>
      <c r="O6" s="26" t="s">
        <v>17</v>
      </c>
      <c r="P6" s="26" t="s">
        <v>18</v>
      </c>
      <c r="Q6" s="27" t="s">
        <v>0</v>
      </c>
      <c r="R6" s="22"/>
      <c r="S6" s="25" t="s">
        <v>16</v>
      </c>
      <c r="T6" s="26" t="s">
        <v>15</v>
      </c>
      <c r="U6" s="26" t="s">
        <v>1</v>
      </c>
      <c r="V6" s="26" t="s">
        <v>1</v>
      </c>
      <c r="W6" s="26" t="s">
        <v>17</v>
      </c>
      <c r="X6" s="26" t="s">
        <v>18</v>
      </c>
      <c r="Y6" s="27" t="s">
        <v>0</v>
      </c>
      <c r="Z6" s="22"/>
      <c r="AA6" s="25" t="s">
        <v>16</v>
      </c>
      <c r="AB6" s="26" t="s">
        <v>15</v>
      </c>
      <c r="AC6" s="26" t="s">
        <v>1</v>
      </c>
      <c r="AD6" s="26" t="s">
        <v>1</v>
      </c>
      <c r="AE6" s="26" t="s">
        <v>17</v>
      </c>
      <c r="AF6" s="26" t="s">
        <v>18</v>
      </c>
      <c r="AG6" s="27" t="s">
        <v>0</v>
      </c>
      <c r="AH6" s="28"/>
    </row>
    <row r="7" spans="2:36" ht="14.25" customHeight="1">
      <c r="B7" s="8"/>
      <c r="C7" s="14" t="str">
        <f>IF(AND(YEAR(JanSun1)=TheYear,MONTH(JanSun1)=1),JanSun1, "")</f>
        <v/>
      </c>
      <c r="D7" s="14" t="str">
        <f>IF(AND(YEAR(JanSun1+1)=TheYear,MONTH(JanSun1+1)=1),JanSun1+1, "")</f>
        <v/>
      </c>
      <c r="E7" s="14" t="str">
        <f>IF(AND(YEAR(JanSun1+2)=TheYear,MONTH(JanSun1+2)=1),JanSun1+2, "")</f>
        <v/>
      </c>
      <c r="F7" s="14" t="str">
        <f>IF(AND(YEAR(JanSun1+3)=TheYear,MONTH(JanSun1+3)=1),JanSun1+3, "")</f>
        <v/>
      </c>
      <c r="G7" s="14">
        <f>IF(AND(YEAR(JanSun1+4)=TheYear,MONTH(JanSun1+4)=1),JanSun1+4, "")</f>
        <v>42005</v>
      </c>
      <c r="H7" s="14">
        <f>IF(AND(YEAR(JanSun1+5)=TheYear,MONTH(JanSun1+5)=1),JanSun1+5, "")</f>
        <v>42006</v>
      </c>
      <c r="I7" s="14">
        <f>IF(AND(YEAR(JanSun1+6)=TheYear,MONTH(JanSun1+6)=1),JanSun1+6, "")</f>
        <v>42007</v>
      </c>
      <c r="J7" s="9"/>
      <c r="K7" s="21" t="str">
        <f>IF(AND(YEAR(AprSun1)=TheYear,MONTH(AprSun1)=4),AprSun1, "")</f>
        <v/>
      </c>
      <c r="L7" s="21" t="str">
        <f>IF(AND(YEAR(AprSun1+1)=TheYear,MONTH(AprSun1+1)=4),AprSun1+1, "")</f>
        <v/>
      </c>
      <c r="M7" s="21" t="str">
        <f>IF(AND(YEAR(AprSun1+2)=TheYear,MONTH(AprSun1+2)=4),AprSun1+2, "")</f>
        <v/>
      </c>
      <c r="N7" s="21">
        <f>IF(AND(YEAR(AprSun1+3)=TheYear,MONTH(AprSun1+3)=4),AprSun1+3, "")</f>
        <v>42095</v>
      </c>
      <c r="O7" s="21">
        <f>IF(AND(YEAR(AprSun1+4)=TheYear,MONTH(AprSun1+4)=4),AprSun1+4, "")</f>
        <v>42096</v>
      </c>
      <c r="P7" s="21">
        <f>IF(AND(YEAR(AprSun1+5)=TheYear,MONTH(AprSun1+5)=4),AprSun1+5, "")</f>
        <v>42097</v>
      </c>
      <c r="Q7" s="21">
        <f>IF(AND(YEAR(AprSun1+6)=TheYear,MONTH(AprSun1+6)=4),AprSun1+6, "")</f>
        <v>42098</v>
      </c>
      <c r="R7" s="22"/>
      <c r="S7" s="21" t="str">
        <f>IF(AND(YEAR(JulSun1)=TheYear,MONTH(JulSun1)=7),JulSun1, "")</f>
        <v/>
      </c>
      <c r="T7" s="21" t="str">
        <f>IF(AND(YEAR(JulSun1+1)=TheYear,MONTH(JulSun1+1)=7),JulSun1+1, "")</f>
        <v/>
      </c>
      <c r="U7" s="21" t="str">
        <f>IF(AND(YEAR(JulSun1+2)=TheYear,MONTH(JulSun1+2)=7),JulSun1+2, "")</f>
        <v/>
      </c>
      <c r="V7" s="21">
        <f>IF(AND(YEAR(JulSun1+3)=TheYear,MONTH(JulSun1+3)=7),JulSun1+3, "")</f>
        <v>42186</v>
      </c>
      <c r="W7" s="21">
        <f>IF(AND(YEAR(JulSun1+4)=TheYear,MONTH(JulSun1+4)=7),JulSun1+4, "")</f>
        <v>42187</v>
      </c>
      <c r="X7" s="21">
        <f>IF(AND(YEAR(JulSun1+5)=TheYear,MONTH(JulSun1+5)=7),JulSun1+5, "")</f>
        <v>42188</v>
      </c>
      <c r="Y7" s="21">
        <f>IF(AND(YEAR(JulSun1+6)=TheYear,MONTH(JulSun1+6)=7),JulSun1+6, "")</f>
        <v>42189</v>
      </c>
      <c r="Z7" s="22"/>
      <c r="AA7" s="21" t="str">
        <f>IF(AND(YEAR(OctSun1)=TheYear,MONTH(OctSun1)=10),OctSun1, "")</f>
        <v/>
      </c>
      <c r="AB7" s="21" t="str">
        <f>IF(AND(YEAR(OctSun1+1)=TheYear,MONTH(OctSun1+1)=10),OctSun1+1, "")</f>
        <v/>
      </c>
      <c r="AC7" s="21" t="str">
        <f>IF(AND(YEAR(OctSun1+2)=TheYear,MONTH(OctSun1+2)=10),OctSun1+2, "")</f>
        <v/>
      </c>
      <c r="AD7" s="21" t="str">
        <f>IF(AND(YEAR(OctSun1+3)=TheYear,MONTH(OctSun1+3)=10),OctSun1+3, "")</f>
        <v/>
      </c>
      <c r="AE7" s="21">
        <f>IF(AND(YEAR(OctSun1+4)=TheYear,MONTH(OctSun1+4)=10),OctSun1+4, "")</f>
        <v>42278</v>
      </c>
      <c r="AF7" s="21">
        <f>IF(AND(YEAR(OctSun1+5)=TheYear,MONTH(OctSun1+5)=10),OctSun1+5, "")</f>
        <v>42279</v>
      </c>
      <c r="AG7" s="21">
        <f>IF(AND(YEAR(OctSun1+6)=TheYear,MONTH(OctSun1+6)=10),OctSun1+6, "")</f>
        <v>42280</v>
      </c>
      <c r="AH7" s="28"/>
    </row>
    <row r="8" spans="2:36">
      <c r="B8" s="8"/>
      <c r="C8" s="14">
        <f>IF(AND(YEAR(JanSun1+7)=TheYear,MONTH(JanSun1+7)=1),JanSun1+7, "")</f>
        <v>42008</v>
      </c>
      <c r="D8" s="14">
        <f>IF(AND(YEAR(JanSun1+8)=TheYear,MONTH(JanSun1+8)=1),JanSun1+8, "")</f>
        <v>42009</v>
      </c>
      <c r="E8" s="14">
        <f>IF(AND(YEAR(JanSun1+9)=TheYear,MONTH(JanSun1+9)=1),JanSun1+9, "")</f>
        <v>42010</v>
      </c>
      <c r="F8" s="14">
        <f>IF(AND(YEAR(JanSun1+10)=TheYear,MONTH(JanSun1+10)=1),JanSun1+10, "")</f>
        <v>42011</v>
      </c>
      <c r="G8" s="14">
        <f>IF(AND(YEAR(JanSun1+11)=TheYear,MONTH(JanSun1+11)=1),JanSun1+11, "")</f>
        <v>42012</v>
      </c>
      <c r="H8" s="14">
        <f>IF(AND(YEAR(JanSun1+12)=TheYear,MONTH(JanSun1+12)=1),JanSun1+12, "")</f>
        <v>42013</v>
      </c>
      <c r="I8" s="14">
        <f>IF(AND(YEAR(JanSun1+13)=TheYear,MONTH(JanSun1+13)=1),JanSun1+13, "")</f>
        <v>42014</v>
      </c>
      <c r="J8" s="9"/>
      <c r="K8" s="21">
        <f>IF(AND(YEAR(AprSun1+7)=TheYear,MONTH(AprSun1+7)=4),AprSun1+7, "")</f>
        <v>42099</v>
      </c>
      <c r="L8" s="21">
        <f>IF(AND(YEAR(AprSun1+8)=TheYear,MONTH(AprSun1+8)=4),AprSun1+8, "")</f>
        <v>42100</v>
      </c>
      <c r="M8" s="21">
        <f>IF(AND(YEAR(AprSun1+9)=TheYear,MONTH(AprSun1+9)=4),AprSun1+9, "")</f>
        <v>42101</v>
      </c>
      <c r="N8" s="21">
        <f>IF(AND(YEAR(AprSun1+10)=TheYear,MONTH(AprSun1+10)=4),AprSun1+10, "")</f>
        <v>42102</v>
      </c>
      <c r="O8" s="21">
        <f>IF(AND(YEAR(AprSun1+11)=TheYear,MONTH(AprSun1+11)=4),AprSun1+11, "")</f>
        <v>42103</v>
      </c>
      <c r="P8" s="21">
        <f>IF(AND(YEAR(AprSun1+12)=TheYear,MONTH(AprSun1+12)=4),AprSun1+12, "")</f>
        <v>42104</v>
      </c>
      <c r="Q8" s="21">
        <f>IF(AND(YEAR(AprSun1+13)=TheYear,MONTH(AprSun1+13)=4),AprSun1+13, "")</f>
        <v>42105</v>
      </c>
      <c r="R8" s="22"/>
      <c r="S8" s="21">
        <f>IF(AND(YEAR(JulSun1+7)=TheYear,MONTH(JulSun1+7)=7),JulSun1+7, "")</f>
        <v>42190</v>
      </c>
      <c r="T8" s="21">
        <f>IF(AND(YEAR(JulSun1+8)=TheYear,MONTH(JulSun1+8)=7),JulSun1+8, "")</f>
        <v>42191</v>
      </c>
      <c r="U8" s="21">
        <f>IF(AND(YEAR(JulSun1+9)=TheYear,MONTH(JulSun1+9)=7),JulSun1+9, "")</f>
        <v>42192</v>
      </c>
      <c r="V8" s="21">
        <f>IF(AND(YEAR(JulSun1+10)=TheYear,MONTH(JulSun1+10)=7),JulSun1+10, "")</f>
        <v>42193</v>
      </c>
      <c r="W8" s="21">
        <f>IF(AND(YEAR(JulSun1+11)=TheYear,MONTH(JulSun1+11)=7),JulSun1+11, "")</f>
        <v>42194</v>
      </c>
      <c r="X8" s="21">
        <f>IF(AND(YEAR(JulSun1+12)=TheYear,MONTH(JulSun1+12)=7),JulSun1+12, "")</f>
        <v>42195</v>
      </c>
      <c r="Y8" s="29">
        <f>IF(AND(YEAR(JulSun1+13)=TheYear,MONTH(JulSun1+13)=7),JulSun1+13, "")</f>
        <v>42196</v>
      </c>
      <c r="Z8" s="22"/>
      <c r="AA8" s="21">
        <f>IF(AND(YEAR(OctSun1+7)=TheYear,MONTH(OctSun1+7)=10),OctSun1+7, "")</f>
        <v>42281</v>
      </c>
      <c r="AB8" s="21">
        <f>IF(AND(YEAR(OctSun1+8)=TheYear,MONTH(OctSun1+8)=10),OctSun1+8, "")</f>
        <v>42282</v>
      </c>
      <c r="AC8" s="21">
        <f>IF(AND(YEAR(OctSun1+9)=TheYear,MONTH(OctSun1+9)=10),OctSun1+9, "")</f>
        <v>42283</v>
      </c>
      <c r="AD8" s="21">
        <f>IF(AND(YEAR(OctSun1+10)=TheYear,MONTH(OctSun1+10)=10),OctSun1+10, "")</f>
        <v>42284</v>
      </c>
      <c r="AE8" s="21">
        <f>IF(AND(YEAR(OctSun1+11)=TheYear,MONTH(OctSun1+11)=10),OctSun1+11, "")</f>
        <v>42285</v>
      </c>
      <c r="AF8" s="21">
        <f>IF(AND(YEAR(OctSun1+12)=TheYear,MONTH(OctSun1+12)=10),OctSun1+12, "")</f>
        <v>42286</v>
      </c>
      <c r="AG8" s="21">
        <f>IF(AND(YEAR(OctSun1+13)=TheYear,MONTH(OctSun1+13)=10),OctSun1+13, "")</f>
        <v>42287</v>
      </c>
      <c r="AH8" s="28"/>
    </row>
    <row r="9" spans="2:36">
      <c r="B9" s="8"/>
      <c r="C9" s="14">
        <f>IF(AND(YEAR(JanSun1+14)=TheYear,MONTH(JanSun1+14)=1),JanSun1+14, "")</f>
        <v>42015</v>
      </c>
      <c r="D9" s="14">
        <f>IF(AND(YEAR(JanSun1+15)=TheYear,MONTH(JanSun1+15)=1),JanSun1+15, "")</f>
        <v>42016</v>
      </c>
      <c r="E9" s="14">
        <f>IF(AND(YEAR(JanSun1+16)=TheYear,MONTH(JanSun1+16)=1),JanSun1+16, "")</f>
        <v>42017</v>
      </c>
      <c r="F9" s="14">
        <f>IF(AND(YEAR(JanSun1+17)=TheYear,MONTH(JanSun1+17)=1),JanSun1+17, "")</f>
        <v>42018</v>
      </c>
      <c r="G9" s="14">
        <f>IF(AND(YEAR(JanSun1+18)=TheYear,MONTH(JanSun1+18)=1),JanSun1+18, "")</f>
        <v>42019</v>
      </c>
      <c r="H9" s="14">
        <f>IF(AND(YEAR(JanSun1+19)=TheYear,MONTH(JanSun1+19)=1),JanSun1+19, "")</f>
        <v>42020</v>
      </c>
      <c r="I9" s="14">
        <f>IF(AND(YEAR(JanSun1+20)=TheYear,MONTH(JanSun1+20)=1),JanSun1+20, "")</f>
        <v>42021</v>
      </c>
      <c r="J9" s="9"/>
      <c r="K9" s="21">
        <f>IF(AND(YEAR(AprSun1+14)=TheYear,MONTH(AprSun1+14)=4),AprSun1+14, "")</f>
        <v>42106</v>
      </c>
      <c r="L9" s="21">
        <f>IF(AND(YEAR(AprSun1+15)=TheYear,MONTH(AprSun1+15)=4),AprSun1+15, "")</f>
        <v>42107</v>
      </c>
      <c r="M9" s="21">
        <f>IF(AND(YEAR(AprSun1+16)=TheYear,MONTH(AprSun1+16)=4),AprSun1+16, "")</f>
        <v>42108</v>
      </c>
      <c r="N9" s="21">
        <f>IF(AND(YEAR(AprSun1+17)=TheYear,MONTH(AprSun1+17)=4),AprSun1+17, "")</f>
        <v>42109</v>
      </c>
      <c r="O9" s="21">
        <f>IF(AND(YEAR(AprSun1+18)=TheYear,MONTH(AprSun1+18)=4),AprSun1+18, "")</f>
        <v>42110</v>
      </c>
      <c r="P9" s="21">
        <f>IF(AND(YEAR(AprSun1+19)=TheYear,MONTH(AprSun1+19)=4),AprSun1+19, "")</f>
        <v>42111</v>
      </c>
      <c r="Q9" s="21">
        <f>IF(AND(YEAR(AprSun1+20)=TheYear,MONTH(AprSun1+20)=4),AprSun1+20, "")</f>
        <v>42112</v>
      </c>
      <c r="R9" s="22"/>
      <c r="S9" s="29">
        <f>IF(AND(YEAR(JulSun1+14)=TheYear,MONTH(JulSun1+14)=7),JulSun1+14, "")</f>
        <v>42197</v>
      </c>
      <c r="T9" s="29">
        <f>IF(AND(YEAR(JulSun1+15)=TheYear,MONTH(JulSun1+15)=7),JulSun1+15, "")</f>
        <v>42198</v>
      </c>
      <c r="U9" s="29">
        <f>IF(AND(YEAR(JulSun1+16)=TheYear,MONTH(JulSun1+16)=7),JulSun1+16, "")</f>
        <v>42199</v>
      </c>
      <c r="V9" s="29">
        <f>IF(AND(YEAR(JulSun1+17)=TheYear,MONTH(JulSun1+17)=7),JulSun1+17, "")</f>
        <v>42200</v>
      </c>
      <c r="W9" s="29">
        <f>IF(AND(YEAR(JulSun1+18)=TheYear,MONTH(JulSun1+18)=7),JulSun1+18, "")</f>
        <v>42201</v>
      </c>
      <c r="X9" s="29">
        <f>IF(AND(YEAR(JulSun1+19)=TheYear,MONTH(JulSun1+19)=7),JulSun1+19, "")</f>
        <v>42202</v>
      </c>
      <c r="Y9" s="29">
        <f>IF(AND(YEAR(JulSun1+20)=TheYear,MONTH(JulSun1+20)=7),JulSun1+20, "")</f>
        <v>42203</v>
      </c>
      <c r="Z9" s="22"/>
      <c r="AA9" s="21">
        <f>IF(AND(YEAR(OctSun1+14)=TheYear,MONTH(OctSun1+14)=10),OctSun1+14, "")</f>
        <v>42288</v>
      </c>
      <c r="AB9" s="21">
        <f>IF(AND(YEAR(OctSun1+15)=TheYear,MONTH(OctSun1+15)=10),OctSun1+15, "")</f>
        <v>42289</v>
      </c>
      <c r="AC9" s="21">
        <f>IF(AND(YEAR(OctSun1+16)=TheYear,MONTH(OctSun1+16)=10),OctSun1+16, "")</f>
        <v>42290</v>
      </c>
      <c r="AD9" s="21">
        <f>IF(AND(YEAR(OctSun1+17)=TheYear,MONTH(OctSun1+17)=10),OctSun1+17, "")</f>
        <v>42291</v>
      </c>
      <c r="AE9" s="21">
        <f>IF(AND(YEAR(OctSun1+18)=TheYear,MONTH(OctSun1+18)=10),OctSun1+18, "")</f>
        <v>42292</v>
      </c>
      <c r="AF9" s="21">
        <f>IF(AND(YEAR(OctSun1+19)=TheYear,MONTH(OctSun1+19)=10),OctSun1+19, "")</f>
        <v>42293</v>
      </c>
      <c r="AG9" s="21">
        <f>IF(AND(YEAR(OctSun1+20)=TheYear,MONTH(OctSun1+20)=10),OctSun1+20, "")</f>
        <v>42294</v>
      </c>
      <c r="AH9" s="28"/>
    </row>
    <row r="10" spans="2:36">
      <c r="B10" s="8"/>
      <c r="C10" s="14">
        <f>IF(AND(YEAR(JanSun1+21)=TheYear,MONTH(JanSun1+21)=1),JanSun1+21, "")</f>
        <v>42022</v>
      </c>
      <c r="D10" s="14">
        <f>IF(AND(YEAR(JanSun1+22)=TheYear,MONTH(JanSun1+22)=1),JanSun1+22, "")</f>
        <v>42023</v>
      </c>
      <c r="E10" s="14">
        <f>IF(AND(YEAR(JanSun1+23)=TheYear,MONTH(JanSun1+23)=1),JanSun1+23, "")</f>
        <v>42024</v>
      </c>
      <c r="F10" s="14">
        <f>IF(AND(YEAR(JanSun1+24)=TheYear,MONTH(JanSun1+24)=1),JanSun1+24, "")</f>
        <v>42025</v>
      </c>
      <c r="G10" s="14">
        <f>IF(AND(YEAR(JanSun1+25)=TheYear,MONTH(JanSun1+25)=1),JanSun1+25, "")</f>
        <v>42026</v>
      </c>
      <c r="H10" s="14">
        <f>IF(AND(YEAR(JanSun1+26)=TheYear,MONTH(JanSun1+26)=1),JanSun1+26, "")</f>
        <v>42027</v>
      </c>
      <c r="I10" s="14">
        <f>IF(AND(YEAR(JanSun1+27)=TheYear,MONTH(JanSun1+27)=1),JanSun1+27, "")</f>
        <v>42028</v>
      </c>
      <c r="J10" s="9"/>
      <c r="K10" s="21">
        <f>IF(AND(YEAR(AprSun1+21)=TheYear,MONTH(AprSun1+21)=4),AprSun1+21, "")</f>
        <v>42113</v>
      </c>
      <c r="L10" s="21">
        <f>IF(AND(YEAR(AprSun1+22)=TheYear,MONTH(AprSun1+22)=4),AprSun1+22, "")</f>
        <v>42114</v>
      </c>
      <c r="M10" s="21">
        <f>IF(AND(YEAR(AprSun1+23)=TheYear,MONTH(AprSun1+23)=4),AprSun1+23, "")</f>
        <v>42115</v>
      </c>
      <c r="N10" s="21">
        <f>IF(AND(YEAR(AprSun1+24)=TheYear,MONTH(AprSun1+24)=4),AprSun1+24, "")</f>
        <v>42116</v>
      </c>
      <c r="O10" s="21">
        <f>IF(AND(YEAR(AprSun1+25)=TheYear,MONTH(AprSun1+25)=4),AprSun1+25, "")</f>
        <v>42117</v>
      </c>
      <c r="P10" s="21">
        <f>IF(AND(YEAR(AprSun1+26)=TheYear,MONTH(AprSun1+26)=4),AprSun1+26, "")</f>
        <v>42118</v>
      </c>
      <c r="Q10" s="21">
        <f>IF(AND(YEAR(AprSun1+27)=TheYear,MONTH(AprSun1+27)=4),AprSun1+27, "")</f>
        <v>42119</v>
      </c>
      <c r="R10" s="22"/>
      <c r="S10" s="21">
        <f>IF(AND(YEAR(JulSun1+21)=TheYear,MONTH(JulSun1+21)=7),JulSun1+21, "")</f>
        <v>42204</v>
      </c>
      <c r="T10" s="21">
        <f>IF(AND(YEAR(JulSun1+22)=TheYear,MONTH(JulSun1+22)=7),JulSun1+22, "")</f>
        <v>42205</v>
      </c>
      <c r="U10" s="21">
        <f>IF(AND(YEAR(JulSun1+23)=TheYear,MONTH(JulSun1+23)=7),JulSun1+23, "")</f>
        <v>42206</v>
      </c>
      <c r="V10" s="21">
        <f>IF(AND(YEAR(JulSun1+24)=TheYear,MONTH(JulSun1+24)=7),JulSun1+24, "")</f>
        <v>42207</v>
      </c>
      <c r="W10" s="21">
        <f>IF(AND(YEAR(JulSun1+25)=TheYear,MONTH(JulSun1+25)=7),JulSun1+25, "")</f>
        <v>42208</v>
      </c>
      <c r="X10" s="21">
        <f>IF(AND(YEAR(JulSun1+26)=TheYear,MONTH(JulSun1+26)=7),JulSun1+26, "")</f>
        <v>42209</v>
      </c>
      <c r="Y10" s="21">
        <f>IF(AND(YEAR(JulSun1+27)=TheYear,MONTH(JulSun1+27)=7),JulSun1+27, "")</f>
        <v>42210</v>
      </c>
      <c r="Z10" s="22"/>
      <c r="AA10" s="21">
        <f>IF(AND(YEAR(OctSun1+21)=TheYear,MONTH(OctSun1+21)=10),OctSun1+21, "")</f>
        <v>42295</v>
      </c>
      <c r="AB10" s="21">
        <f>IF(AND(YEAR(OctSun1+22)=TheYear,MONTH(OctSun1+22)=10),OctSun1+22, "")</f>
        <v>42296</v>
      </c>
      <c r="AC10" s="21">
        <f>IF(AND(YEAR(OctSun1+23)=TheYear,MONTH(OctSun1+23)=10),OctSun1+23, "")</f>
        <v>42297</v>
      </c>
      <c r="AD10" s="21">
        <f>IF(AND(YEAR(OctSun1+24)=TheYear,MONTH(OctSun1+24)=10),OctSun1+24, "")</f>
        <v>42298</v>
      </c>
      <c r="AE10" s="21">
        <f>IF(AND(YEAR(OctSun1+25)=TheYear,MONTH(OctSun1+25)=10),OctSun1+25, "")</f>
        <v>42299</v>
      </c>
      <c r="AF10" s="21">
        <f>IF(AND(YEAR(OctSun1+26)=TheYear,MONTH(OctSun1+26)=10),OctSun1+26, "")</f>
        <v>42300</v>
      </c>
      <c r="AG10" s="21">
        <f>IF(AND(YEAR(OctSun1+27)=TheYear,MONTH(OctSun1+27)=10),OctSun1+27, "")</f>
        <v>42301</v>
      </c>
      <c r="AH10" s="28"/>
    </row>
    <row r="11" spans="2:36">
      <c r="B11" s="8"/>
      <c r="C11" s="14">
        <f>IF(AND(YEAR(JanSun1+28)=TheYear,MONTH(JanSun1+28)=1),JanSun1+28, "")</f>
        <v>42029</v>
      </c>
      <c r="D11" s="14">
        <f>IF(AND(YEAR(JanSun1+29)=TheYear,MONTH(JanSun1+29)=1),JanSun1+29, "")</f>
        <v>42030</v>
      </c>
      <c r="E11" s="14">
        <f>IF(AND(YEAR(JanSun1+30)=TheYear,MONTH(JanSun1+30)=1),JanSun1+30, "")</f>
        <v>42031</v>
      </c>
      <c r="F11" s="14">
        <f>IF(AND(YEAR(JanSun1+31)=TheYear,MONTH(JanSun1+31)=1),JanSun1+31, "")</f>
        <v>42032</v>
      </c>
      <c r="G11" s="14">
        <f>IF(AND(YEAR(JanSun1+32)=TheYear,MONTH(JanSun1+32)=1),JanSun1+32, "")</f>
        <v>42033</v>
      </c>
      <c r="H11" s="14">
        <f>IF(AND(YEAR(JanSun1+33)=TheYear,MONTH(JanSun1+33)=1),JanSun1+33, "")</f>
        <v>42034</v>
      </c>
      <c r="I11" s="14">
        <f>IF(AND(YEAR(JanSun1+34)=TheYear,MONTH(JanSun1+34)=1),JanSun1+34, "")</f>
        <v>42035</v>
      </c>
      <c r="J11" s="9"/>
      <c r="K11" s="21">
        <f>IF(AND(YEAR(AprSun1+28)=TheYear,MONTH(AprSun1+28)=4),AprSun1+28, "")</f>
        <v>42120</v>
      </c>
      <c r="L11" s="21">
        <f>IF(AND(YEAR(AprSun1+29)=TheYear,MONTH(AprSun1+29)=4),AprSun1+29, "")</f>
        <v>42121</v>
      </c>
      <c r="M11" s="21">
        <f>IF(AND(YEAR(AprSun1+30)=TheYear,MONTH(AprSun1+30)=4),AprSun1+30, "")</f>
        <v>42122</v>
      </c>
      <c r="N11" s="21">
        <f>IF(AND(YEAR(AprSun1+31)=TheYear,MONTH(AprSun1+31)=4),AprSun1+31, "")</f>
        <v>42123</v>
      </c>
      <c r="O11" s="21">
        <f>IF(AND(YEAR(AprSun1+32)=TheYear,MONTH(AprSun1+32)=4),AprSun1+32, "")</f>
        <v>42124</v>
      </c>
      <c r="P11" s="21" t="str">
        <f>IF(AND(YEAR(AprSun1+33)=TheYear,MONTH(AprSun1+33)=4),AprSun1+33, "")</f>
        <v/>
      </c>
      <c r="Q11" s="21" t="str">
        <f>IF(AND(YEAR(AprSun1+34)=TheYear,MONTH(AprSun1+34)=4),AprSun1+34, "")</f>
        <v/>
      </c>
      <c r="R11" s="22"/>
      <c r="S11" s="21">
        <f>IF(AND(YEAR(JulSun1+28)=TheYear,MONTH(JulSun1+28)=7),JulSun1+28, "")</f>
        <v>42211</v>
      </c>
      <c r="T11" s="21">
        <f>IF(AND(YEAR(JulSun1+29)=TheYear,MONTH(JulSun1+29)=7),JulSun1+29, "")</f>
        <v>42212</v>
      </c>
      <c r="U11" s="21">
        <f>IF(AND(YEAR(JulSun1+30)=TheYear,MONTH(JulSun1+30)=7),JulSun1+30, "")</f>
        <v>42213</v>
      </c>
      <c r="V11" s="21">
        <f>IF(AND(YEAR(JulSun1+31)=TheYear,MONTH(JulSun1+31)=7),JulSun1+31, "")</f>
        <v>42214</v>
      </c>
      <c r="W11" s="21">
        <f>IF(AND(YEAR(JulSun1+32)=TheYear,MONTH(JulSun1+32)=7),JulSun1+32, "")</f>
        <v>42215</v>
      </c>
      <c r="X11" s="21">
        <f>IF(AND(YEAR(JulSun1+33)=TheYear,MONTH(JulSun1+33)=7),JulSun1+33, "")</f>
        <v>42216</v>
      </c>
      <c r="Y11" s="21" t="str">
        <f>IF(AND(YEAR(JulSun1+34)=TheYear,MONTH(JulSun1+34)=7),JulSun1+34, "")</f>
        <v/>
      </c>
      <c r="Z11" s="22"/>
      <c r="AA11" s="21">
        <f>IF(AND(YEAR(OctSun1+28)=TheYear,MONTH(OctSun1+28)=10),OctSun1+28, "")</f>
        <v>42302</v>
      </c>
      <c r="AB11" s="21">
        <f>IF(AND(YEAR(OctSun1+29)=TheYear,MONTH(OctSun1+29)=10),OctSun1+29, "")</f>
        <v>42303</v>
      </c>
      <c r="AC11" s="21">
        <f>IF(AND(YEAR(OctSun1+30)=TheYear,MONTH(OctSun1+30)=10),OctSun1+30, "")</f>
        <v>42304</v>
      </c>
      <c r="AD11" s="21">
        <f>IF(AND(YEAR(OctSun1+31)=TheYear,MONTH(OctSun1+31)=10),OctSun1+31, "")</f>
        <v>42305</v>
      </c>
      <c r="AE11" s="21">
        <f>IF(AND(YEAR(OctSun1+32)=TheYear,MONTH(OctSun1+32)=10),OctSun1+32, "")</f>
        <v>42306</v>
      </c>
      <c r="AF11" s="21">
        <f>IF(AND(YEAR(OctSun1+33)=TheYear,MONTH(OctSun1+33)=10),OctSun1+33, "")</f>
        <v>42307</v>
      </c>
      <c r="AG11" s="21">
        <f>IF(AND(YEAR(OctSun1+34)=TheYear,MONTH(OctSun1+34)=10),OctSun1+34, "")</f>
        <v>42308</v>
      </c>
      <c r="AH11" s="28"/>
    </row>
    <row r="12" spans="2:36">
      <c r="B12" s="8"/>
      <c r="C12" s="14" t="str">
        <f>IF(AND(YEAR(JanSun1+35)=TheYear,MONTH(JanSun1+35)=1),JanSun1+35, "")</f>
        <v/>
      </c>
      <c r="D12" s="14" t="str">
        <f>IF(AND(YEAR(JanSun1+36)=TheYear,MONTH(JanSun1+36)=1),JanSun1+36, "")</f>
        <v/>
      </c>
      <c r="E12" s="14" t="str">
        <f>IF(AND(YEAR(JanSun1+37)=TheYear,MONTH(JanSun1+37)=1),JanSun1+37, "")</f>
        <v/>
      </c>
      <c r="F12" s="14" t="str">
        <f>IF(AND(YEAR(JanSun1+38)=TheYear,MONTH(JanSun1+38)=1),JanSun1+38, "")</f>
        <v/>
      </c>
      <c r="G12" s="14" t="str">
        <f>IF(AND(YEAR(JanSun1+39)=TheYear,MONTH(JanSun1+39)=1),JanSun1+39, "")</f>
        <v/>
      </c>
      <c r="H12" s="14" t="str">
        <f>IF(AND(YEAR(JanSun1+40)=TheYear,MONTH(JanSun1+40)=1),JanSun1+40, "")</f>
        <v/>
      </c>
      <c r="I12" s="14" t="str">
        <f>IF(AND(YEAR(JanSun1+41)=TheYear,MONTH(JanSun1+41)=1),JanSun1+41, "")</f>
        <v/>
      </c>
      <c r="J12" s="9"/>
      <c r="K12" s="23" t="str">
        <f>IF(AND(YEAR(AprSun1+35)=TheYear,MONTH(AprSun1+35)=4),AprSun1+35, "")</f>
        <v/>
      </c>
      <c r="L12" s="23" t="str">
        <f>IF(AND(YEAR(AprSun1+36)=TheYear,MONTH(AprSun1+36)=4),AprSun1+36, "")</f>
        <v/>
      </c>
      <c r="M12" s="23" t="str">
        <f>IF(AND(YEAR(AprSun1+37)=TheYear,MONTH(AprSun1+37)=4),AprSun1+37, "")</f>
        <v/>
      </c>
      <c r="N12" s="23" t="str">
        <f>IF(AND(YEAR(AprSun1+38)=TheYear,MONTH(AprSun1+38)=4),AprSun1+38, "")</f>
        <v/>
      </c>
      <c r="O12" s="23" t="str">
        <f>IF(AND(YEAR(AprSun1+39)=TheYear,MONTH(AprSun1+39)=4),AprSun1+39, "")</f>
        <v/>
      </c>
      <c r="P12" s="23" t="str">
        <f>IF(AND(YEAR(AprSun1+40)=TheYear,MONTH(AprSun1+40)=4),AprSun1+40, "")</f>
        <v/>
      </c>
      <c r="Q12" s="23" t="str">
        <f>IF(AND(YEAR(AprSun1+41)=TheYear,MONTH(AprSun1+41)=4),AprSun1+41, "")</f>
        <v/>
      </c>
      <c r="R12" s="22"/>
      <c r="S12" s="23" t="str">
        <f>IF(AND(YEAR(JulSun1+35)=TheYear,MONTH(JulSun1+35)=7),JulSun1+35, "")</f>
        <v/>
      </c>
      <c r="T12" s="23" t="str">
        <f>IF(AND(YEAR(JulSun1+36)=TheYear,MONTH(JulSun1+36)=7),JulSun1+36, "")</f>
        <v/>
      </c>
      <c r="U12" s="23" t="str">
        <f>IF(AND(YEAR(JulSun1+37)=TheYear,MONTH(JulSun1+37)=7),JulSun1+37, "")</f>
        <v/>
      </c>
      <c r="V12" s="23" t="str">
        <f>IF(AND(YEAR(JulSun1+38)=TheYear,MONTH(JulSun1+38)=7),JulSun1+38, "")</f>
        <v/>
      </c>
      <c r="W12" s="23" t="str">
        <f>IF(AND(YEAR(JulSun1+39)=TheYear,MONTH(JulSun1+39)=7),JulSun1+39, "")</f>
        <v/>
      </c>
      <c r="X12" s="23" t="str">
        <f>IF(AND(YEAR(JulSun1+40)=TheYear,MONTH(JulSun1+40)=7),JulSun1+40, "")</f>
        <v/>
      </c>
      <c r="Y12" s="23" t="str">
        <f>IF(AND(YEAR(JulSun1+41)=TheYear,MONTH(JulSun1+41)=7),JulSun1+41, "")</f>
        <v/>
      </c>
      <c r="Z12" s="22"/>
      <c r="AA12" s="21" t="str">
        <f>IF(AND(YEAR(OctSun1+35)=TheYear,MONTH(OctSun1+35)=10),OctSun1+35, "")</f>
        <v/>
      </c>
      <c r="AB12" s="21" t="str">
        <f>IF(AND(YEAR(OctSun1+36)=TheYear,MONTH(OctSun1+36)=10),OctSun1+36, "")</f>
        <v/>
      </c>
      <c r="AC12" s="21" t="str">
        <f>IF(AND(YEAR(OctSun1+37)=TheYear,MONTH(OctSun1+37)=10),OctSun1+37, "")</f>
        <v/>
      </c>
      <c r="AD12" s="21" t="str">
        <f>IF(AND(YEAR(OctSun1+38)=TheYear,MONTH(OctSun1+38)=10),OctSun1+38, "")</f>
        <v/>
      </c>
      <c r="AE12" s="21" t="str">
        <f>IF(AND(YEAR(OctSun1+39)=TheYear,MONTH(OctSun1+39)=10),OctSun1+39, "")</f>
        <v/>
      </c>
      <c r="AF12" s="21" t="str">
        <f>IF(AND(YEAR(OctSun1+40)=TheYear,MONTH(OctSun1+40)=10),OctSun1+40, "")</f>
        <v/>
      </c>
      <c r="AG12" s="21" t="str">
        <f>IF(AND(YEAR(OctSun1+41)=TheYear,MONTH(OctSun1+41)=10),OctSun1+41, "")</f>
        <v/>
      </c>
      <c r="AH12" s="10"/>
    </row>
    <row r="13" spans="2:36" ht="3.75" customHeight="1">
      <c r="B13" s="8"/>
      <c r="C13" s="15"/>
      <c r="D13" s="15"/>
      <c r="E13" s="15"/>
      <c r="F13" s="15"/>
      <c r="G13" s="15"/>
      <c r="H13" s="15"/>
      <c r="I13" s="15"/>
      <c r="J13" s="9"/>
      <c r="K13" s="24"/>
      <c r="L13" s="24"/>
      <c r="M13" s="24"/>
      <c r="N13" s="24"/>
      <c r="O13" s="24"/>
      <c r="P13" s="24"/>
      <c r="Q13" s="24"/>
      <c r="R13" s="22"/>
      <c r="S13" s="24"/>
      <c r="T13" s="24"/>
      <c r="U13" s="24"/>
      <c r="V13" s="24"/>
      <c r="W13" s="24"/>
      <c r="X13" s="24"/>
      <c r="Y13" s="24"/>
      <c r="Z13" s="22"/>
      <c r="AA13" s="24"/>
      <c r="AB13" s="24"/>
      <c r="AC13" s="24"/>
      <c r="AD13" s="24"/>
      <c r="AE13" s="24"/>
      <c r="AF13" s="24"/>
      <c r="AG13" s="24"/>
      <c r="AH13" s="10"/>
    </row>
    <row r="14" spans="2:36">
      <c r="B14" s="8"/>
      <c r="C14" s="30" t="s">
        <v>4</v>
      </c>
      <c r="D14" s="30"/>
      <c r="E14" s="30"/>
      <c r="F14" s="30"/>
      <c r="G14" s="30"/>
      <c r="H14" s="30"/>
      <c r="I14" s="30"/>
      <c r="J14" s="9"/>
      <c r="K14" s="31" t="s">
        <v>7</v>
      </c>
      <c r="L14" s="31"/>
      <c r="M14" s="31"/>
      <c r="N14" s="31"/>
      <c r="O14" s="31"/>
      <c r="P14" s="31"/>
      <c r="Q14" s="31"/>
      <c r="R14" s="22"/>
      <c r="S14" s="31" t="s">
        <v>10</v>
      </c>
      <c r="T14" s="31"/>
      <c r="U14" s="31"/>
      <c r="V14" s="31"/>
      <c r="W14" s="31"/>
      <c r="X14" s="31"/>
      <c r="Y14" s="31"/>
      <c r="Z14" s="22"/>
      <c r="AA14" s="31" t="s">
        <v>13</v>
      </c>
      <c r="AB14" s="31"/>
      <c r="AC14" s="31"/>
      <c r="AD14" s="31"/>
      <c r="AE14" s="31"/>
      <c r="AF14" s="31"/>
      <c r="AG14" s="31"/>
      <c r="AH14" s="10"/>
    </row>
    <row r="15" spans="2:36">
      <c r="B15" s="8"/>
      <c r="C15" s="11" t="s">
        <v>16</v>
      </c>
      <c r="D15" s="12" t="s">
        <v>15</v>
      </c>
      <c r="E15" s="12" t="s">
        <v>1</v>
      </c>
      <c r="F15" s="12" t="s">
        <v>1</v>
      </c>
      <c r="G15" s="12" t="s">
        <v>17</v>
      </c>
      <c r="H15" s="12" t="s">
        <v>18</v>
      </c>
      <c r="I15" s="13" t="s">
        <v>0</v>
      </c>
      <c r="J15" s="9"/>
      <c r="K15" s="25" t="s">
        <v>16</v>
      </c>
      <c r="L15" s="26" t="s">
        <v>15</v>
      </c>
      <c r="M15" s="26" t="s">
        <v>1</v>
      </c>
      <c r="N15" s="26" t="s">
        <v>1</v>
      </c>
      <c r="O15" s="26" t="s">
        <v>17</v>
      </c>
      <c r="P15" s="26" t="s">
        <v>18</v>
      </c>
      <c r="Q15" s="27" t="s">
        <v>0</v>
      </c>
      <c r="R15" s="22"/>
      <c r="S15" s="25" t="s">
        <v>16</v>
      </c>
      <c r="T15" s="26" t="s">
        <v>15</v>
      </c>
      <c r="U15" s="26" t="s">
        <v>1</v>
      </c>
      <c r="V15" s="26" t="s">
        <v>1</v>
      </c>
      <c r="W15" s="26" t="s">
        <v>17</v>
      </c>
      <c r="X15" s="26" t="s">
        <v>18</v>
      </c>
      <c r="Y15" s="27" t="s">
        <v>0</v>
      </c>
      <c r="Z15" s="22"/>
      <c r="AA15" s="25" t="s">
        <v>16</v>
      </c>
      <c r="AB15" s="26" t="s">
        <v>15</v>
      </c>
      <c r="AC15" s="26" t="s">
        <v>1</v>
      </c>
      <c r="AD15" s="26" t="s">
        <v>1</v>
      </c>
      <c r="AE15" s="26" t="s">
        <v>17</v>
      </c>
      <c r="AF15" s="26" t="s">
        <v>18</v>
      </c>
      <c r="AG15" s="27" t="s">
        <v>0</v>
      </c>
      <c r="AH15" s="10"/>
    </row>
    <row r="16" spans="2:36">
      <c r="B16" s="8"/>
      <c r="C16" s="14">
        <f>IF(AND(YEAR(FebSun1)=TheYear,MONTH(FebSun1)=2),FebSun1, "")</f>
        <v>42036</v>
      </c>
      <c r="D16" s="14">
        <f>IF(AND(YEAR(FebSun1+1)=TheYear,MONTH(FebSun1+1)=2),FebSun1+1, "")</f>
        <v>42037</v>
      </c>
      <c r="E16" s="14">
        <f>IF(AND(YEAR(FebSun1+2)=TheYear,MONTH(FebSun1+2)=2),FebSun1+2, "")</f>
        <v>42038</v>
      </c>
      <c r="F16" s="14">
        <f>IF(AND(YEAR(FebSun1+3)=TheYear,MONTH(FebSun1+3)=2),FebSun1+3, "")</f>
        <v>42039</v>
      </c>
      <c r="G16" s="14">
        <f>IF(AND(YEAR(FebSun1+4)=TheYear,MONTH(FebSun1+4)=2),FebSun1+4, "")</f>
        <v>42040</v>
      </c>
      <c r="H16" s="14">
        <f>IF(AND(YEAR(FebSun1+5)=TheYear,MONTH(FebSun1+5)=2),FebSun1+5, "")</f>
        <v>42041</v>
      </c>
      <c r="I16" s="14">
        <f>IF(AND(YEAR(FebSun1+6)=TheYear,MONTH(FebSun1+6)=2),FebSun1+6, "")</f>
        <v>42042</v>
      </c>
      <c r="J16" s="9"/>
      <c r="K16" s="21" t="str">
        <f>IF(AND(YEAR(MaySun1)=TheYear,MONTH(MaySun1)=5),MaySun1, "")</f>
        <v/>
      </c>
      <c r="L16" s="21" t="str">
        <f>IF(AND(YEAR(MaySun1+1)=TheYear,MONTH(MaySun1+1)=5),MaySun1+1, "")</f>
        <v/>
      </c>
      <c r="M16" s="21" t="str">
        <f>IF(AND(YEAR(MaySun1+2)=TheYear,MONTH(MaySun1+2)=5),MaySun1+2, "")</f>
        <v/>
      </c>
      <c r="N16" s="21" t="str">
        <f>IF(AND(YEAR(MaySun1+3)=TheYear,MONTH(MaySun1+3)=5),MaySun1+3, "")</f>
        <v/>
      </c>
      <c r="O16" s="21" t="str">
        <f>IF(AND(YEAR(MaySun1+4)=TheYear,MONTH(MaySun1+4)=5),MaySun1+4, "")</f>
        <v/>
      </c>
      <c r="P16" s="29">
        <f>IF(AND(YEAR(MaySun1+5)=TheYear,MONTH(MaySun1+5)=5),MaySun1+5, "")</f>
        <v>42125</v>
      </c>
      <c r="Q16" s="29">
        <f>IF(AND(YEAR(MaySun1+6)=TheYear,MONTH(MaySun1+6)=5),MaySun1+6, "")</f>
        <v>42126</v>
      </c>
      <c r="R16" s="22"/>
      <c r="S16" s="21" t="str">
        <f>IF(AND(YEAR(AugSun1)=TheYear,MONTH(AugSun1)=8),AugSun1, "")</f>
        <v/>
      </c>
      <c r="T16" s="21" t="str">
        <f>IF(AND(YEAR(AugSun1+1)=TheYear,MONTH(AugSun1+1)=8),AugSun1+1, "")</f>
        <v/>
      </c>
      <c r="U16" s="21" t="str">
        <f>IF(AND(YEAR(AugSun1+2)=TheYear,MONTH(AugSun1+2)=8),AugSun1+2, "")</f>
        <v/>
      </c>
      <c r="V16" s="21" t="str">
        <f>IF(AND(YEAR(AugSun1+3)=TheYear,MONTH(AugSun1+3)=8),AugSun1+3, "")</f>
        <v/>
      </c>
      <c r="W16" s="21" t="str">
        <f>IF(AND(YEAR(AugSun1+4)=TheYear,MONTH(AugSun1+4)=8),AugSun1+4, "")</f>
        <v/>
      </c>
      <c r="X16" s="21" t="str">
        <f>IF(AND(YEAR(AugSun1+5)=TheYear,MONTH(AugSun1+5)=8),AugSun1+5, "")</f>
        <v/>
      </c>
      <c r="Y16" s="29">
        <f>IF(AND(YEAR(AugSun1+6)=TheYear,MONTH(AugSun1+6)=8),AugSun1+6, "")</f>
        <v>42217</v>
      </c>
      <c r="Z16" s="22"/>
      <c r="AA16" s="21">
        <f>IF(AND(YEAR(NovSun1)=TheYear,MONTH(NovSun1)=11),NovSun1, "")</f>
        <v>42309</v>
      </c>
      <c r="AB16" s="21">
        <f>IF(AND(YEAR(NovSun1+1)=TheYear,MONTH(NovSun1+1)=11),NovSun1+1, "")</f>
        <v>42310</v>
      </c>
      <c r="AC16" s="21">
        <f>IF(AND(YEAR(NovSun1+2)=TheYear,MONTH(NovSun1+2)=11),NovSun1+2, "")</f>
        <v>42311</v>
      </c>
      <c r="AD16" s="21">
        <f>IF(AND(YEAR(NovSun1+3)=TheYear,MONTH(NovSun1+3)=11),NovSun1+3, "")</f>
        <v>42312</v>
      </c>
      <c r="AE16" s="21">
        <f>IF(AND(YEAR(NovSun1+4)=TheYear,MONTH(NovSun1+4)=11),NovSun1+4, "")</f>
        <v>42313</v>
      </c>
      <c r="AF16" s="21">
        <f>IF(AND(YEAR(NovSun1+5)=TheYear,MONTH(NovSun1+5)=11),NovSun1+5, "")</f>
        <v>42314</v>
      </c>
      <c r="AG16" s="21">
        <f>IF(AND(YEAR(NovSun1+6)=TheYear,MONTH(NovSun1+6)=11),NovSun1+6, "")</f>
        <v>42315</v>
      </c>
      <c r="AH16" s="28"/>
    </row>
    <row r="17" spans="2:36">
      <c r="B17" s="8"/>
      <c r="C17" s="14">
        <f>IF(AND(YEAR(FebSun1+7)=TheYear,MONTH(FebSun1+7)=2),FebSun1+7, "")</f>
        <v>42043</v>
      </c>
      <c r="D17" s="14">
        <f>IF(AND(YEAR(FebSun1+8)=TheYear,MONTH(FebSun1+8)=2),FebSun1+8, "")</f>
        <v>42044</v>
      </c>
      <c r="E17" s="14">
        <f>IF(AND(YEAR(FebSun1+9)=TheYear,MONTH(FebSun1+9)=2),FebSun1+9, "")</f>
        <v>42045</v>
      </c>
      <c r="F17" s="14">
        <f>IF(AND(YEAR(FebSun1+10)=TheYear,MONTH(FebSun1+10)=2),FebSun1+10, "")</f>
        <v>42046</v>
      </c>
      <c r="G17" s="14">
        <f>IF(AND(YEAR(FebSun1+11)=TheYear,MONTH(FebSun1+11)=2),FebSun1+11, "")</f>
        <v>42047</v>
      </c>
      <c r="H17" s="14">
        <f>IF(AND(YEAR(FebSun1+12)=TheYear,MONTH(FebSun1+12)=2),FebSun1+12, "")</f>
        <v>42048</v>
      </c>
      <c r="I17" s="14">
        <f>IF(AND(YEAR(FebSun1+13)=TheYear,MONTH(FebSun1+13)=2),FebSun1+13, "")</f>
        <v>42049</v>
      </c>
      <c r="J17" s="9"/>
      <c r="K17" s="21">
        <f>IF(AND(YEAR(MaySun1+7)=TheYear,MONTH(MaySun1+7)=5),MaySun1+7, "")</f>
        <v>42127</v>
      </c>
      <c r="L17" s="21">
        <f>IF(AND(YEAR(MaySun1+8)=TheYear,MONTH(MaySun1+8)=5),MaySun1+8, "")</f>
        <v>42128</v>
      </c>
      <c r="M17" s="21">
        <f>IF(AND(YEAR(MaySun1+9)=TheYear,MONTH(MaySun1+9)=5),MaySun1+9, "")</f>
        <v>42129</v>
      </c>
      <c r="N17" s="21">
        <f>IF(AND(YEAR(MaySun1+10)=TheYear,MONTH(MaySun1+10)=5),MaySun1+10, "")</f>
        <v>42130</v>
      </c>
      <c r="O17" s="21">
        <f>IF(AND(YEAR(MaySun1+11)=TheYear,MONTH(MaySun1+11)=5),MaySun1+11, "")</f>
        <v>42131</v>
      </c>
      <c r="P17" s="21">
        <f>IF(AND(YEAR(MaySun1+12)=TheYear,MONTH(MaySun1+12)=5),MaySun1+12, "")</f>
        <v>42132</v>
      </c>
      <c r="Q17" s="21">
        <f>IF(AND(YEAR(MaySun1+13)=TheYear,MONTH(MaySun1+13)=5),MaySun1+13, "")</f>
        <v>42133</v>
      </c>
      <c r="R17" s="22"/>
      <c r="S17" s="21">
        <f>IF(AND(YEAR(AugSun1+7)=TheYear,MONTH(AugSun1+7)=8),AugSun1+7, "")</f>
        <v>42218</v>
      </c>
      <c r="T17" s="21">
        <f>IF(AND(YEAR(AugSun1+8)=TheYear,MONTH(AugSun1+8)=8),AugSun1+8, "")</f>
        <v>42219</v>
      </c>
      <c r="U17" s="21">
        <f>IF(AND(YEAR(AugSun1+9)=TheYear,MONTH(AugSun1+9)=8),AugSun1+9, "")</f>
        <v>42220</v>
      </c>
      <c r="V17" s="21">
        <f>IF(AND(YEAR(AugSun1+10)=TheYear,MONTH(AugSun1+10)=8),AugSun1+10, "")</f>
        <v>42221</v>
      </c>
      <c r="W17" s="21">
        <f>IF(AND(YEAR(AugSun1+11)=TheYear,MONTH(AugSun1+11)=8),AugSun1+11, "")</f>
        <v>42222</v>
      </c>
      <c r="X17" s="21">
        <f>IF(AND(YEAR(AugSun1+12)=TheYear,MONTH(AugSun1+12)=8),AugSun1+12, "")</f>
        <v>42223</v>
      </c>
      <c r="Y17" s="21">
        <f>IF(AND(YEAR(AugSun1+13)=TheYear,MONTH(AugSun1+13)=8),AugSun1+13, "")</f>
        <v>42224</v>
      </c>
      <c r="Z17" s="22"/>
      <c r="AA17" s="21">
        <f>IF(AND(YEAR(NovSun1+7)=TheYear,MONTH(NovSun1+7)=11),NovSun1+7, "")</f>
        <v>42316</v>
      </c>
      <c r="AB17" s="21">
        <f>IF(AND(YEAR(NovSun1+8)=TheYear,MONTH(NovSun1+8)=11),NovSun1+8, "")</f>
        <v>42317</v>
      </c>
      <c r="AC17" s="21">
        <f>IF(AND(YEAR(NovSun1+9)=TheYear,MONTH(NovSun1+9)=11),NovSun1+9, "")</f>
        <v>42318</v>
      </c>
      <c r="AD17" s="21">
        <f>IF(AND(YEAR(NovSun1+10)=TheYear,MONTH(NovSun1+10)=11),NovSun1+10, "")</f>
        <v>42319</v>
      </c>
      <c r="AE17" s="21">
        <f>IF(AND(YEAR(NovSun1+11)=TheYear,MONTH(NovSun1+11)=11),NovSun1+11, "")</f>
        <v>42320</v>
      </c>
      <c r="AF17" s="21">
        <f>IF(AND(YEAR(NovSun1+12)=TheYear,MONTH(NovSun1+12)=11),NovSun1+12, "")</f>
        <v>42321</v>
      </c>
      <c r="AG17" s="21">
        <f>IF(AND(YEAR(NovSun1+13)=TheYear,MONTH(NovSun1+13)=11),NovSun1+13, "")</f>
        <v>42322</v>
      </c>
      <c r="AH17" s="28"/>
    </row>
    <row r="18" spans="2:36">
      <c r="B18" s="8"/>
      <c r="C18" s="14">
        <f>IF(AND(YEAR(FebSun1+14)=TheYear,MONTH(FebSun1+14)=2),FebSun1+14, "")</f>
        <v>42050</v>
      </c>
      <c r="D18" s="14">
        <f>IF(AND(YEAR(FebSun1+15)=TheYear,MONTH(FebSun1+15)=2),FebSun1+15, "")</f>
        <v>42051</v>
      </c>
      <c r="E18" s="14">
        <f>IF(AND(YEAR(FebSun1+16)=TheYear,MONTH(FebSun1+16)=2),FebSun1+16, "")</f>
        <v>42052</v>
      </c>
      <c r="F18" s="14">
        <f>IF(AND(YEAR(FebSun1+17)=TheYear,MONTH(FebSun1+17)=2),FebSun1+17, "")</f>
        <v>42053</v>
      </c>
      <c r="G18" s="14">
        <f>IF(AND(YEAR(FebSun1+18)=TheYear,MONTH(FebSun1+18)=2),FebSun1+18, "")</f>
        <v>42054</v>
      </c>
      <c r="H18" s="14">
        <f>IF(AND(YEAR(FebSun1+19)=TheYear,MONTH(FebSun1+19)=2),FebSun1+19, "")</f>
        <v>42055</v>
      </c>
      <c r="I18" s="14">
        <f>IF(AND(YEAR(FebSun1+20)=TheYear,MONTH(FebSun1+20)=2),FebSun1+20, "")</f>
        <v>42056</v>
      </c>
      <c r="J18" s="9"/>
      <c r="K18" s="21">
        <f>IF(AND(YEAR(MaySun1+14)=TheYear,MONTH(MaySun1+14)=5),MaySun1+14, "")</f>
        <v>42134</v>
      </c>
      <c r="L18" s="21">
        <f>IF(AND(YEAR(MaySun1+15)=TheYear,MONTH(MaySun1+15)=5),MaySun1+15, "")</f>
        <v>42135</v>
      </c>
      <c r="M18" s="21">
        <f>IF(AND(YEAR(MaySun1+16)=TheYear,MONTH(MaySun1+16)=5),MaySun1+16, "")</f>
        <v>42136</v>
      </c>
      <c r="N18" s="21">
        <f>IF(AND(YEAR(MaySun1+17)=TheYear,MONTH(MaySun1+17)=5),MaySun1+17, "")</f>
        <v>42137</v>
      </c>
      <c r="O18" s="21">
        <f>IF(AND(YEAR(MaySun1+18)=TheYear,MONTH(MaySun1+18)=5),MaySun1+18, "")</f>
        <v>42138</v>
      </c>
      <c r="P18" s="21">
        <f>IF(AND(YEAR(MaySun1+19)=TheYear,MONTH(MaySun1+19)=5),MaySun1+19, "")</f>
        <v>42139</v>
      </c>
      <c r="Q18" s="21">
        <f>IF(AND(YEAR(MaySun1+20)=TheYear,MONTH(MaySun1+20)=5),MaySun1+20, "")</f>
        <v>42140</v>
      </c>
      <c r="R18" s="22"/>
      <c r="S18" s="21">
        <f>IF(AND(YEAR(AugSun1+14)=TheYear,MONTH(AugSun1+14)=8),AugSun1+14, "")</f>
        <v>42225</v>
      </c>
      <c r="T18" s="21">
        <f>IF(AND(YEAR(AugSun1+15)=TheYear,MONTH(AugSun1+15)=8),AugSun1+15, "")</f>
        <v>42226</v>
      </c>
      <c r="U18" s="21">
        <f>IF(AND(YEAR(AugSun1+16)=TheYear,MONTH(AugSun1+16)=8),AugSun1+16, "")</f>
        <v>42227</v>
      </c>
      <c r="V18" s="21">
        <f>IF(AND(YEAR(AugSun1+17)=TheYear,MONTH(AugSun1+17)=8),AugSun1+17, "")</f>
        <v>42228</v>
      </c>
      <c r="W18" s="21">
        <f>IF(AND(YEAR(AugSun1+18)=TheYear,MONTH(AugSun1+18)=8),AugSun1+18, "")</f>
        <v>42229</v>
      </c>
      <c r="X18" s="21">
        <f>IF(AND(YEAR(AugSun1+19)=TheYear,MONTH(AugSun1+19)=8),AugSun1+19, "")</f>
        <v>42230</v>
      </c>
      <c r="Y18" s="21">
        <f>IF(AND(YEAR(AugSun1+20)=TheYear,MONTH(AugSun1+20)=8),AugSun1+20, "")</f>
        <v>42231</v>
      </c>
      <c r="Z18" s="22"/>
      <c r="AA18" s="21">
        <f>IF(AND(YEAR(NovSun1+14)=TheYear,MONTH(NovSun1+14)=11),NovSun1+14, "")</f>
        <v>42323</v>
      </c>
      <c r="AB18" s="21">
        <f>IF(AND(YEAR(NovSun1+15)=TheYear,MONTH(NovSun1+15)=11),NovSun1+15, "")</f>
        <v>42324</v>
      </c>
      <c r="AC18" s="21">
        <f>IF(AND(YEAR(NovSun1+16)=TheYear,MONTH(NovSun1+16)=11),NovSun1+16, "")</f>
        <v>42325</v>
      </c>
      <c r="AD18" s="21">
        <f>IF(AND(YEAR(NovSun1+17)=TheYear,MONTH(NovSun1+17)=11),NovSun1+17, "")</f>
        <v>42326</v>
      </c>
      <c r="AE18" s="21">
        <f>IF(AND(YEAR(NovSun1+18)=TheYear,MONTH(NovSun1+18)=11),NovSun1+18, "")</f>
        <v>42327</v>
      </c>
      <c r="AF18" s="21">
        <f>IF(AND(YEAR(NovSun1+19)=TheYear,MONTH(NovSun1+19)=11),NovSun1+19, "")</f>
        <v>42328</v>
      </c>
      <c r="AG18" s="21">
        <f>IF(AND(YEAR(NovSun1+20)=TheYear,MONTH(NovSun1+20)=11),NovSun1+20, "")</f>
        <v>42329</v>
      </c>
      <c r="AH18" s="28"/>
    </row>
    <row r="19" spans="2:36">
      <c r="B19" s="8"/>
      <c r="C19" s="14">
        <f>IF(AND(YEAR(FebSun1+21)=TheYear,MONTH(FebSun1+21)=2),FebSun1+21, "")</f>
        <v>42057</v>
      </c>
      <c r="D19" s="14">
        <f>IF(AND(YEAR(FebSun1+22)=TheYear,MONTH(FebSun1+22)=2),FebSun1+22, "")</f>
        <v>42058</v>
      </c>
      <c r="E19" s="14">
        <f>IF(AND(YEAR(FebSun1+23)=TheYear,MONTH(FebSun1+23)=2),FebSun1+23, "")</f>
        <v>42059</v>
      </c>
      <c r="F19" s="14">
        <f>IF(AND(YEAR(FebSun1+24)=TheYear,MONTH(FebSun1+24)=2),FebSun1+24, "")</f>
        <v>42060</v>
      </c>
      <c r="G19" s="14">
        <f>IF(AND(YEAR(FebSun1+25)=TheYear,MONTH(FebSun1+25)=2),FebSun1+25, "")</f>
        <v>42061</v>
      </c>
      <c r="H19" s="14">
        <f>IF(AND(YEAR(FebSun1+26)=TheYear,MONTH(FebSun1+26)=2),FebSun1+26, "")</f>
        <v>42062</v>
      </c>
      <c r="I19" s="14">
        <f>IF(AND(YEAR(FebSun1+27)=TheYear,MONTH(FebSun1+27)=2),FebSun1+27, "")</f>
        <v>42063</v>
      </c>
      <c r="J19" s="9"/>
      <c r="K19" s="21">
        <f>IF(AND(YEAR(MaySun1+21)=TheYear,MONTH(MaySun1+21)=5),MaySun1+21, "")</f>
        <v>42141</v>
      </c>
      <c r="L19" s="21">
        <f>IF(AND(YEAR(MaySun1+22)=TheYear,MONTH(MaySun1+22)=5),MaySun1+22, "")</f>
        <v>42142</v>
      </c>
      <c r="M19" s="21">
        <f>IF(AND(YEAR(MaySun1+23)=TheYear,MONTH(MaySun1+23)=5),MaySun1+23, "")</f>
        <v>42143</v>
      </c>
      <c r="N19" s="21">
        <f>IF(AND(YEAR(MaySun1+24)=TheYear,MONTH(MaySun1+24)=5),MaySun1+24, "")</f>
        <v>42144</v>
      </c>
      <c r="O19" s="21">
        <f>IF(AND(YEAR(MaySun1+25)=TheYear,MONTH(MaySun1+25)=5),MaySun1+25, "")</f>
        <v>42145</v>
      </c>
      <c r="P19" s="21">
        <f>IF(AND(YEAR(MaySun1+26)=TheYear,MONTH(MaySun1+26)=5),MaySun1+26, "")</f>
        <v>42146</v>
      </c>
      <c r="Q19" s="21">
        <f>IF(AND(YEAR(MaySun1+27)=TheYear,MONTH(MaySun1+27)=5),MaySun1+27, "")</f>
        <v>42147</v>
      </c>
      <c r="R19" s="22"/>
      <c r="S19" s="21">
        <f>IF(AND(YEAR(AugSun1+21)=TheYear,MONTH(AugSun1+21)=8),AugSun1+21, "")</f>
        <v>42232</v>
      </c>
      <c r="T19" s="21">
        <f>IF(AND(YEAR(AugSun1+22)=TheYear,MONTH(AugSun1+22)=8),AugSun1+22, "")</f>
        <v>42233</v>
      </c>
      <c r="U19" s="21">
        <f>IF(AND(YEAR(AugSun1+23)=TheYear,MONTH(AugSun1+23)=8),AugSun1+23, "")</f>
        <v>42234</v>
      </c>
      <c r="V19" s="29">
        <f>IF(AND(YEAR(AugSun1+24)=TheYear,MONTH(AugSun1+24)=8),AugSun1+24, "")</f>
        <v>42235</v>
      </c>
      <c r="W19" s="29">
        <f>IF(AND(YEAR(AugSun1+25)=TheYear,MONTH(AugSun1+25)=8),AugSun1+25, "")</f>
        <v>42236</v>
      </c>
      <c r="X19" s="29">
        <f>IF(AND(YEAR(AugSun1+26)=TheYear,MONTH(AugSun1+26)=8),AugSun1+26, "")</f>
        <v>42237</v>
      </c>
      <c r="Y19" s="29">
        <f>IF(AND(YEAR(AugSun1+27)=TheYear,MONTH(AugSun1+27)=8),AugSun1+27, "")</f>
        <v>42238</v>
      </c>
      <c r="Z19" s="22"/>
      <c r="AA19" s="21">
        <f>IF(AND(YEAR(NovSun1+21)=TheYear,MONTH(NovSun1+21)=11),NovSun1+21, "")</f>
        <v>42330</v>
      </c>
      <c r="AB19" s="21">
        <f>IF(AND(YEAR(NovSun1+22)=TheYear,MONTH(NovSun1+22)=11),NovSun1+22, "")</f>
        <v>42331</v>
      </c>
      <c r="AC19" s="21">
        <f>IF(AND(YEAR(NovSun1+23)=TheYear,MONTH(NovSun1+23)=11),NovSun1+23, "")</f>
        <v>42332</v>
      </c>
      <c r="AD19" s="21">
        <f>IF(AND(YEAR(NovSun1+24)=TheYear,MONTH(NovSun1+24)=11),NovSun1+24, "")</f>
        <v>42333</v>
      </c>
      <c r="AE19" s="21">
        <f>IF(AND(YEAR(NovSun1+25)=TheYear,MONTH(NovSun1+25)=11),NovSun1+25, "")</f>
        <v>42334</v>
      </c>
      <c r="AF19" s="21">
        <f>IF(AND(YEAR(NovSun1+26)=TheYear,MONTH(NovSun1+26)=11),NovSun1+26, "")</f>
        <v>42335</v>
      </c>
      <c r="AG19" s="21">
        <f>IF(AND(YEAR(NovSun1+27)=TheYear,MONTH(NovSun1+27)=11),NovSun1+27, "")</f>
        <v>42336</v>
      </c>
      <c r="AH19" s="28"/>
    </row>
    <row r="20" spans="2:36">
      <c r="B20" s="8"/>
      <c r="C20" s="14" t="str">
        <f>IF(AND(YEAR(FebSun1+28)=TheYear,MONTH(FebSun1+28)=2),FebSun1+28, "")</f>
        <v/>
      </c>
      <c r="D20" s="14" t="str">
        <f>IF(AND(YEAR(FebSun1+29)=TheYear,MONTH(FebSun1+29)=2),FebSun1+29, "")</f>
        <v/>
      </c>
      <c r="E20" s="14" t="str">
        <f>IF(AND(YEAR(FebSun1+30)=TheYear,MONTH(FebSun1+30)=2),FebSun1+30, "")</f>
        <v/>
      </c>
      <c r="F20" s="14" t="str">
        <f>IF(AND(YEAR(FebSun1+31)=TheYear,MONTH(FebSun1+31)=2),FebSun1+31, "")</f>
        <v/>
      </c>
      <c r="G20" s="14" t="str">
        <f>IF(AND(YEAR(FebSun1+32)=TheYear,MONTH(FebSun1+32)=2),FebSun1+32, "")</f>
        <v/>
      </c>
      <c r="H20" s="14" t="str">
        <f>IF(AND(YEAR(FebSun1+33)=TheYear,MONTH(FebSun1+33)=2),FebSun1+33, "")</f>
        <v/>
      </c>
      <c r="I20" s="14" t="str">
        <f>IF(AND(YEAR(FebSun1+34)=TheYear,MONTH(FebSun1+34)=2),FebSun1+34, "")</f>
        <v/>
      </c>
      <c r="J20" s="9"/>
      <c r="K20" s="21">
        <f>IF(AND(YEAR(MaySun1+28)=TheYear,MONTH(MaySun1+28)=5),MaySun1+28, "")</f>
        <v>42148</v>
      </c>
      <c r="L20" s="21">
        <f>IF(AND(YEAR(MaySun1+29)=TheYear,MONTH(MaySun1+29)=5),MaySun1+29, "")</f>
        <v>42149</v>
      </c>
      <c r="M20" s="21">
        <v>29</v>
      </c>
      <c r="N20" s="21" t="s">
        <v>20</v>
      </c>
      <c r="O20" s="21">
        <v>31</v>
      </c>
      <c r="P20" s="21">
        <f>IF(AND(YEAR(MaySun1+33)=TheYear,MONTH(MaySun1+33)=5),MaySun1+33, "")</f>
        <v>42153</v>
      </c>
      <c r="Q20" s="21">
        <f>IF(AND(YEAR(MaySun1+34)=TheYear,MONTH(MaySun1+34)=5),MaySun1+34, "")</f>
        <v>42154</v>
      </c>
      <c r="R20" s="22"/>
      <c r="S20" s="21">
        <f>IF(AND(YEAR(AugSun1+28)=TheYear,MONTH(AugSun1+28)=8),AugSun1+28, "")</f>
        <v>42239</v>
      </c>
      <c r="T20" s="21">
        <f>IF(AND(YEAR(AugSun1+29)=TheYear,MONTH(AugSun1+29)=8),AugSun1+29, "")</f>
        <v>42240</v>
      </c>
      <c r="U20" s="21">
        <f>IF(AND(YEAR(AugSun1+30)=TheYear,MONTH(AugSun1+30)=8),AugSun1+30, "")</f>
        <v>42241</v>
      </c>
      <c r="V20" s="21">
        <f>IF(AND(YEAR(AugSun1+31)=TheYear,MONTH(AugSun1+31)=8),AugSun1+31, "")</f>
        <v>42242</v>
      </c>
      <c r="W20" s="21">
        <f>IF(AND(YEAR(AugSun1+32)=TheYear,MONTH(AugSun1+32)=8),AugSun1+32, "")</f>
        <v>42243</v>
      </c>
      <c r="X20" s="21">
        <f>IF(AND(YEAR(AugSun1+33)=TheYear,MONTH(AugSun1+33)=8),AugSun1+33, "")</f>
        <v>42244</v>
      </c>
      <c r="Y20" s="21">
        <f>IF(AND(YEAR(AugSun1+34)=TheYear,MONTH(AugSun1+34)=8),AugSun1+34, "")</f>
        <v>42245</v>
      </c>
      <c r="Z20" s="22"/>
      <c r="AA20" s="21">
        <f>IF(AND(YEAR(NovSun1+28)=TheYear,MONTH(NovSun1+28)=11),NovSun1+28, "")</f>
        <v>42337</v>
      </c>
      <c r="AB20" s="21">
        <f>IF(AND(YEAR(NovSun1+29)=TheYear,MONTH(NovSun1+29)=11),NovSun1+29, "")</f>
        <v>42338</v>
      </c>
      <c r="AC20" s="21" t="str">
        <f>IF(AND(YEAR(NovSun1+30)=TheYear,MONTH(NovSun1+30)=11),NovSun1+30, "")</f>
        <v/>
      </c>
      <c r="AD20" s="21" t="str">
        <f>IF(AND(YEAR(NovSun1+31)=TheYear,MONTH(NovSun1+31)=11),NovSun1+31, "")</f>
        <v/>
      </c>
      <c r="AE20" s="21" t="str">
        <f>IF(AND(YEAR(NovSun1+32)=TheYear,MONTH(NovSun1+32)=11),NovSun1+32, "")</f>
        <v/>
      </c>
      <c r="AF20" s="21" t="str">
        <f>IF(AND(YEAR(NovSun1+33)=TheYear,MONTH(NovSun1+33)=11),NovSun1+33, "")</f>
        <v/>
      </c>
      <c r="AG20" s="21" t="str">
        <f>IF(AND(YEAR(NovSun1+34)=TheYear,MONTH(NovSun1+34)=11),NovSun1+34, "")</f>
        <v/>
      </c>
      <c r="AH20" s="28"/>
    </row>
    <row r="21" spans="2:36">
      <c r="B21" s="8"/>
      <c r="C21" s="14" t="str">
        <f>IF(AND(YEAR(FebSun1+35)=TheYear,MONTH(FebSun1+35)=2),FebSun1+35, "")</f>
        <v/>
      </c>
      <c r="D21" s="14" t="str">
        <f>IF(AND(YEAR(FebSun1+36)=TheYear,MONTH(FebSun1+36)=2),FebSun1+36, "")</f>
        <v/>
      </c>
      <c r="E21" s="14" t="str">
        <f>IF(AND(YEAR(FebSun1+37)=TheYear,MONTH(FebSun1+37)=2),FebSun1+37, "")</f>
        <v/>
      </c>
      <c r="F21" s="14" t="str">
        <f>IF(AND(YEAR(FebSun1+38)=TheYear,MONTH(FebSun1+38)=2),FebSun1+38, "")</f>
        <v/>
      </c>
      <c r="G21" s="14" t="str">
        <f>IF(AND(YEAR(FebSun1+39)=TheYear,MONTH(FebSun1+39)=2),FebSun1+39, "")</f>
        <v/>
      </c>
      <c r="H21" s="14" t="str">
        <f>IF(AND(YEAR(FebSun1+40)=TheYear,MONTH(FebSun1+40)=2),FebSun1+40, "")</f>
        <v/>
      </c>
      <c r="I21" s="14" t="str">
        <f>IF(AND(YEAR(FebSun1+41)=TheYear,MONTH(FebSun1+41)=2),FebSun1+41, "")</f>
        <v/>
      </c>
      <c r="J21" s="9"/>
      <c r="K21" s="21">
        <f>IF(AND(YEAR(MaySun1+35)=TheYear,MONTH(MaySun1+35)=5),MaySun1+35, "")</f>
        <v>42155</v>
      </c>
      <c r="L21" s="21" t="str">
        <f>IF(AND(YEAR(MaySun1+36)=TheYear,MONTH(MaySun1+36)=5),MaySun1+36, "")</f>
        <v/>
      </c>
      <c r="M21" s="21" t="str">
        <f>IF(AND(YEAR(MaySun1+37)=TheYear,MONTH(MaySun1+37)=5),MaySun1+37, "")</f>
        <v/>
      </c>
      <c r="N21" s="21" t="str">
        <f>IF(AND(YEAR(MaySun1+38)=TheYear,MONTH(MaySun1+38)=5),MaySun1+38, "")</f>
        <v/>
      </c>
      <c r="O21" s="21" t="str">
        <f>IF(AND(YEAR(MaySun1+39)=TheYear,MONTH(MaySun1+39)=5),MaySun1+39, "")</f>
        <v/>
      </c>
      <c r="P21" s="21" t="str">
        <f>IF(AND(YEAR(MaySun1+40)=TheYear,MONTH(MaySun1+40)=5),MaySun1+40, "")</f>
        <v/>
      </c>
      <c r="Q21" s="21" t="str">
        <f>IF(AND(YEAR(MaySun1+41)=TheYear,MONTH(MaySun1+41)=5),MaySun1+41, "")</f>
        <v/>
      </c>
      <c r="R21" s="22"/>
      <c r="S21" s="21">
        <f>IF(AND(YEAR(AugSun1+35)=TheYear,MONTH(AugSun1+35)=8),AugSun1+35, "")</f>
        <v>42246</v>
      </c>
      <c r="T21" s="21">
        <f>IF(AND(YEAR(AugSun1+36)=TheYear,MONTH(AugSun1+36)=8),AugSun1+36, "")</f>
        <v>42247</v>
      </c>
      <c r="U21" s="21" t="str">
        <f>IF(AND(YEAR(AugSun1+37)=TheYear,MONTH(AugSun1+37)=8),AugSun1+37, "")</f>
        <v/>
      </c>
      <c r="V21" s="21" t="str">
        <f>IF(AND(YEAR(AugSun1+38)=TheYear,MONTH(AugSun1+38)=8),AugSun1+38, "")</f>
        <v/>
      </c>
      <c r="W21" s="21" t="str">
        <f>IF(AND(YEAR(AugSun1+39)=TheYear,MONTH(AugSun1+39)=8),AugSun1+39, "")</f>
        <v/>
      </c>
      <c r="X21" s="21" t="str">
        <f>IF(AND(YEAR(AugSun1+40)=TheYear,MONTH(AugSun1+40)=8),AugSun1+40, "")</f>
        <v/>
      </c>
      <c r="Y21" s="21" t="str">
        <f>IF(AND(YEAR(AugSun1+41)=TheYear,MONTH(AugSun1+41)=8),AugSun1+41, "")</f>
        <v/>
      </c>
      <c r="Z21" s="22"/>
      <c r="AA21" s="21" t="str">
        <f>IF(AND(YEAR(NovSun1+35)=TheYear,MONTH(NovSun1+35)=11),NovSun1+35, "")</f>
        <v/>
      </c>
      <c r="AB21" s="21" t="str">
        <f>IF(AND(YEAR(NovSun1+36)=TheYear,MONTH(NovSun1+36)=11),NovSun1+36, "")</f>
        <v/>
      </c>
      <c r="AC21" s="21" t="str">
        <f>IF(AND(YEAR(NovSun1+37)=TheYear,MONTH(NovSun1+37)=11),NovSun1+37, "")</f>
        <v/>
      </c>
      <c r="AD21" s="21" t="str">
        <f>IF(AND(YEAR(NovSun1+38)=TheYear,MONTH(NovSun1+38)=11),NovSun1+38, "")</f>
        <v/>
      </c>
      <c r="AE21" s="21" t="str">
        <f>IF(AND(YEAR(NovSun1+39)=TheYear,MONTH(NovSun1+39)=11),NovSun1+39, "")</f>
        <v/>
      </c>
      <c r="AF21" s="21" t="str">
        <f>IF(AND(YEAR(NovSun1+40)=TheYear,MONTH(NovSun1+40)=11),NovSun1+40, "")</f>
        <v/>
      </c>
      <c r="AG21" s="21" t="str">
        <f>IF(AND(YEAR(NovSun1+41)=TheYear,MONTH(NovSun1+41)=11),NovSun1+41, "")</f>
        <v/>
      </c>
      <c r="AH21" s="28"/>
    </row>
    <row r="22" spans="2:36" ht="4.5" customHeight="1">
      <c r="B22" s="8"/>
      <c r="C22" s="15"/>
      <c r="D22" s="15"/>
      <c r="E22" s="15"/>
      <c r="F22" s="15"/>
      <c r="G22" s="15"/>
      <c r="H22" s="15"/>
      <c r="I22" s="15"/>
      <c r="J22" s="9"/>
      <c r="K22" s="24"/>
      <c r="L22" s="24"/>
      <c r="M22" s="24"/>
      <c r="N22" s="24"/>
      <c r="O22" s="24"/>
      <c r="P22" s="24"/>
      <c r="Q22" s="24"/>
      <c r="R22" s="22"/>
      <c r="S22" s="24"/>
      <c r="T22" s="24"/>
      <c r="U22" s="24"/>
      <c r="V22" s="24"/>
      <c r="W22" s="24"/>
      <c r="X22" s="24"/>
      <c r="Y22" s="24"/>
      <c r="Z22" s="22"/>
      <c r="AA22" s="24"/>
      <c r="AB22" s="24"/>
      <c r="AC22" s="24"/>
      <c r="AD22" s="24"/>
      <c r="AE22" s="24"/>
      <c r="AF22" s="24"/>
      <c r="AG22" s="24"/>
      <c r="AH22" s="10"/>
    </row>
    <row r="23" spans="2:36">
      <c r="B23" s="8"/>
      <c r="C23" s="30" t="s">
        <v>5</v>
      </c>
      <c r="D23" s="30"/>
      <c r="E23" s="30"/>
      <c r="F23" s="30"/>
      <c r="G23" s="30"/>
      <c r="H23" s="30"/>
      <c r="I23" s="30"/>
      <c r="J23" s="9"/>
      <c r="K23" s="31" t="s">
        <v>8</v>
      </c>
      <c r="L23" s="31"/>
      <c r="M23" s="31"/>
      <c r="N23" s="31"/>
      <c r="O23" s="31"/>
      <c r="P23" s="31"/>
      <c r="Q23" s="31"/>
      <c r="R23" s="22"/>
      <c r="S23" s="31" t="s">
        <v>11</v>
      </c>
      <c r="T23" s="31"/>
      <c r="U23" s="31"/>
      <c r="V23" s="31"/>
      <c r="W23" s="31"/>
      <c r="X23" s="31"/>
      <c r="Y23" s="31"/>
      <c r="Z23" s="22"/>
      <c r="AA23" s="31" t="s">
        <v>14</v>
      </c>
      <c r="AB23" s="31"/>
      <c r="AC23" s="31"/>
      <c r="AD23" s="31"/>
      <c r="AE23" s="31"/>
      <c r="AF23" s="31"/>
      <c r="AG23" s="31"/>
      <c r="AH23" s="10"/>
    </row>
    <row r="24" spans="2:36">
      <c r="B24" s="8"/>
      <c r="C24" s="11" t="s">
        <v>16</v>
      </c>
      <c r="D24" s="12" t="s">
        <v>15</v>
      </c>
      <c r="E24" s="12" t="s">
        <v>1</v>
      </c>
      <c r="F24" s="12" t="s">
        <v>1</v>
      </c>
      <c r="G24" s="12" t="s">
        <v>17</v>
      </c>
      <c r="H24" s="12" t="s">
        <v>18</v>
      </c>
      <c r="I24" s="13" t="s">
        <v>0</v>
      </c>
      <c r="J24" s="9"/>
      <c r="K24" s="25" t="s">
        <v>16</v>
      </c>
      <c r="L24" s="26" t="s">
        <v>15</v>
      </c>
      <c r="M24" s="26" t="s">
        <v>1</v>
      </c>
      <c r="N24" s="26" t="s">
        <v>1</v>
      </c>
      <c r="O24" s="26" t="s">
        <v>17</v>
      </c>
      <c r="P24" s="26" t="s">
        <v>18</v>
      </c>
      <c r="Q24" s="27" t="s">
        <v>0</v>
      </c>
      <c r="R24" s="22"/>
      <c r="S24" s="25" t="s">
        <v>16</v>
      </c>
      <c r="T24" s="26" t="s">
        <v>15</v>
      </c>
      <c r="U24" s="26" t="s">
        <v>1</v>
      </c>
      <c r="V24" s="26" t="s">
        <v>1</v>
      </c>
      <c r="W24" s="26" t="s">
        <v>17</v>
      </c>
      <c r="X24" s="26" t="s">
        <v>18</v>
      </c>
      <c r="Y24" s="27" t="s">
        <v>0</v>
      </c>
      <c r="Z24" s="22"/>
      <c r="AA24" s="25" t="s">
        <v>16</v>
      </c>
      <c r="AB24" s="26" t="s">
        <v>15</v>
      </c>
      <c r="AC24" s="26" t="s">
        <v>1</v>
      </c>
      <c r="AD24" s="26" t="s">
        <v>1</v>
      </c>
      <c r="AE24" s="26" t="s">
        <v>17</v>
      </c>
      <c r="AF24" s="26" t="s">
        <v>18</v>
      </c>
      <c r="AG24" s="27" t="s">
        <v>0</v>
      </c>
      <c r="AH24" s="10"/>
    </row>
    <row r="25" spans="2:36">
      <c r="B25" s="8"/>
      <c r="C25" s="14">
        <f>IF(AND(YEAR(MarSun1)=TheYear,MONTH(MarSun1)=3),MarSun1, "")</f>
        <v>42064</v>
      </c>
      <c r="D25" s="14">
        <f>IF(AND(YEAR(MarSun1+1)=TheYear,MONTH(MarSun1+1)=3),MarSun1+1, "")</f>
        <v>42065</v>
      </c>
      <c r="E25" s="14">
        <f>IF(AND(YEAR(MarSun1+2)=TheYear,MONTH(MarSun1+2)=3),MarSun1+2, "")</f>
        <v>42066</v>
      </c>
      <c r="F25" s="14">
        <f>IF(AND(YEAR(MarSun1+3)=TheYear,MONTH(MarSun1+3)=3),MarSun1+3, "")</f>
        <v>42067</v>
      </c>
      <c r="G25" s="14">
        <f>IF(AND(YEAR(MarSun1+4)=TheYear,MONTH(MarSun1+4)=3),MarSun1+4, "")</f>
        <v>42068</v>
      </c>
      <c r="H25" s="14">
        <f>IF(AND(YEAR(MarSun1+5)=TheYear,MONTH(MarSun1+5)=3),MarSun1+5, "")</f>
        <v>42069</v>
      </c>
      <c r="I25" s="14">
        <f>IF(AND(YEAR(MarSun1+6)=TheYear,MONTH(MarSun1+6)=3),MarSun1+6, "")</f>
        <v>42070</v>
      </c>
      <c r="J25" s="9"/>
      <c r="K25" s="21" t="str">
        <f>IF(AND(YEAR(JunSun1)=TheYear,MONTH(JunSun1)=6),JunSun1, "")</f>
        <v/>
      </c>
      <c r="L25" s="21">
        <f>IF(AND(YEAR(JunSun1+1)=TheYear,MONTH(JunSun1+1)=6),JunSun1+1, "")</f>
        <v>42156</v>
      </c>
      <c r="M25" s="21">
        <f>IF(AND(YEAR(JunSun1+2)=TheYear,MONTH(JunSun1+2)=6),JunSun1+2, "")</f>
        <v>42157</v>
      </c>
      <c r="N25" s="21">
        <f>IF(AND(YEAR(JunSun1+3)=TheYear,MONTH(JunSun1+3)=6),JunSun1+3, "")</f>
        <v>42158</v>
      </c>
      <c r="O25" s="21">
        <f>IF(AND(YEAR(JunSun1+4)=TheYear,MONTH(JunSun1+4)=6),JunSun1+4, "")</f>
        <v>42159</v>
      </c>
      <c r="P25" s="21">
        <f>IF(AND(YEAR(JunSun1+5)=TheYear,MONTH(JunSun1+5)=6),JunSun1+5, "")</f>
        <v>42160</v>
      </c>
      <c r="Q25" s="21">
        <f>IF(AND(YEAR(JunSun1+6)=TheYear,MONTH(JunSun1+6)=6),JunSun1+6, "")</f>
        <v>42161</v>
      </c>
      <c r="R25" s="22"/>
      <c r="S25" s="21" t="str">
        <f>IF(AND(YEAR(DecSun1)=TheYear,MONTH(DecSun1)=12),DecSun1, "")</f>
        <v/>
      </c>
      <c r="T25" s="21" t="str">
        <f>IF(AND(YEAR(DecSun1+1)=TheYear,MONTH(DecSun1+1)=12),DecSun1+1, "")</f>
        <v/>
      </c>
      <c r="U25" s="21">
        <f>IF(AND(YEAR(DecSun1+2)=TheYear,MONTH(DecSun1+2)=12),DecSun1+2, "")</f>
        <v>42339</v>
      </c>
      <c r="V25" s="21">
        <f>IF(AND(YEAR(DecSun1+3)=TheYear,MONTH(DecSun1+3)=12),DecSun1+3, "")</f>
        <v>42340</v>
      </c>
      <c r="W25" s="21">
        <f>IF(AND(YEAR(DecSun1+4)=TheYear,MONTH(DecSun1+4)=12),DecSun1+4, "")</f>
        <v>42341</v>
      </c>
      <c r="X25" s="21">
        <f>IF(AND(YEAR(DecSun1+5)=TheYear,MONTH(DecSun1+5)=12),DecSun1+5, "")</f>
        <v>42342</v>
      </c>
      <c r="Y25" s="21">
        <f>IF(AND(YEAR(DecSun1+6)=TheYear,MONTH(DecSun1+6)=12),DecSun1+6, "")</f>
        <v>42343</v>
      </c>
      <c r="Z25" s="22"/>
      <c r="AA25" s="21" t="str">
        <f>IF(AND(YEAR(DecSun1)=TheYear,MONTH(DecSun1)=12),DecSun1, "")</f>
        <v/>
      </c>
      <c r="AB25" s="21" t="str">
        <f>IF(AND(YEAR(DecSun1+1)=TheYear,MONTH(DecSun1+1)=12),DecSun1+1, "")</f>
        <v/>
      </c>
      <c r="AC25" s="21">
        <f>IF(AND(YEAR(DecSun1+2)=TheYear,MONTH(DecSun1+2)=12),DecSun1+2, "")</f>
        <v>42339</v>
      </c>
      <c r="AD25" s="21">
        <f>IF(AND(YEAR(DecSun1+3)=TheYear,MONTH(DecSun1+3)=12),DecSun1+3, "")</f>
        <v>42340</v>
      </c>
      <c r="AE25" s="21">
        <f>IF(AND(YEAR(DecSun1+4)=TheYear,MONTH(DecSun1+4)=12),DecSun1+4, "")</f>
        <v>42341</v>
      </c>
      <c r="AF25" s="21">
        <f>IF(AND(YEAR(DecSun1+5)=TheYear,MONTH(DecSun1+5)=12),DecSun1+5, "")</f>
        <v>42342</v>
      </c>
      <c r="AG25" s="21">
        <f>IF(AND(YEAR(DecSun1+6)=TheYear,MONTH(DecSun1+6)=12),DecSun1+6, "")</f>
        <v>42343</v>
      </c>
      <c r="AH25" s="10"/>
    </row>
    <row r="26" spans="2:36">
      <c r="B26" s="8"/>
      <c r="C26" s="14">
        <f>IF(AND(YEAR(MarSun1+7)=TheYear,MONTH(MarSun1+7)=3),MarSun1+7, "")</f>
        <v>42071</v>
      </c>
      <c r="D26" s="14">
        <f>IF(AND(YEAR(MarSun1+8)=TheYear,MONTH(MarSun1+8)=3),MarSun1+8, "")</f>
        <v>42072</v>
      </c>
      <c r="E26" s="14">
        <f>IF(AND(YEAR(MarSun1+9)=TheYear,MONTH(MarSun1+9)=3),MarSun1+9, "")</f>
        <v>42073</v>
      </c>
      <c r="F26" s="14">
        <f>IF(AND(YEAR(MarSun1+10)=TheYear,MONTH(MarSun1+10)=3),MarSun1+10, "")</f>
        <v>42074</v>
      </c>
      <c r="G26" s="14">
        <f>IF(AND(YEAR(MarSun1+11)=TheYear,MONTH(MarSun1+11)=3),MarSun1+11, "")</f>
        <v>42075</v>
      </c>
      <c r="H26" s="14">
        <f>IF(AND(YEAR(MarSun1+12)=TheYear,MONTH(MarSun1+12)=3),MarSun1+12, "")</f>
        <v>42076</v>
      </c>
      <c r="I26" s="14">
        <f>IF(AND(YEAR(MarSun1+13)=TheYear,MONTH(MarSun1+13)=3),MarSun1+13, "")</f>
        <v>42077</v>
      </c>
      <c r="J26" s="9"/>
      <c r="K26" s="21">
        <f>IF(AND(YEAR(JunSun1+7)=TheYear,MONTH(JunSun1+7)=6),JunSun1+7, "")</f>
        <v>42162</v>
      </c>
      <c r="L26" s="21">
        <f>IF(AND(YEAR(JunSun1+8)=TheYear,MONTH(JunSun1+8)=6),JunSun1+8, "")</f>
        <v>42163</v>
      </c>
      <c r="M26" s="21">
        <f>IF(AND(YEAR(JunSun1+9)=TheYear,MONTH(JunSun1+9)=6),JunSun1+9, "")</f>
        <v>42164</v>
      </c>
      <c r="N26" s="21">
        <f>IF(AND(YEAR(JunSun1+10)=TheYear,MONTH(JunSun1+10)=6),JunSun1+10, "")</f>
        <v>42165</v>
      </c>
      <c r="O26" s="21">
        <f>IF(AND(YEAR(JunSun1+11)=TheYear,MONTH(JunSun1+11)=6),JunSun1+11, "")</f>
        <v>42166</v>
      </c>
      <c r="P26" s="21">
        <f>IF(AND(YEAR(JunSun1+12)=TheYear,MONTH(JunSun1+12)=6),JunSun1+12, "")</f>
        <v>42167</v>
      </c>
      <c r="Q26" s="21">
        <f>IF(AND(YEAR(JunSun1+13)=TheYear,MONTH(JunSun1+13)=6),JunSun1+13, "")</f>
        <v>42168</v>
      </c>
      <c r="R26" s="22"/>
      <c r="S26" s="21">
        <f>IF(AND(YEAR(DecSun1+7)=TheYear,MONTH(DecSun1+7)=12),DecSun1+7, "")</f>
        <v>42344</v>
      </c>
      <c r="T26" s="21">
        <f>IF(AND(YEAR(DecSun1+8)=TheYear,MONTH(DecSun1+8)=12),DecSun1+8, "")</f>
        <v>42345</v>
      </c>
      <c r="U26" s="21">
        <f>IF(AND(YEAR(DecSun1+9)=TheYear,MONTH(DecSun1+9)=12),DecSun1+9, "")</f>
        <v>42346</v>
      </c>
      <c r="V26" s="21">
        <f>IF(AND(YEAR(DecSun1+10)=TheYear,MONTH(DecSun1+10)=12),DecSun1+10, "")</f>
        <v>42347</v>
      </c>
      <c r="W26" s="21">
        <f>IF(AND(YEAR(DecSun1+11)=TheYear,MONTH(DecSun1+11)=12),DecSun1+11, "")</f>
        <v>42348</v>
      </c>
      <c r="X26" s="21">
        <f>IF(AND(YEAR(DecSun1+12)=TheYear,MONTH(DecSun1+12)=12),DecSun1+12, "")</f>
        <v>42349</v>
      </c>
      <c r="Y26" s="21">
        <f>IF(AND(YEAR(DecSun1+13)=TheYear,MONTH(DecSun1+13)=12),DecSun1+13, "")</f>
        <v>42350</v>
      </c>
      <c r="Z26" s="22"/>
      <c r="AA26" s="21">
        <f>IF(AND(YEAR(DecSun1+7)=TheYear,MONTH(DecSun1+7)=12),DecSun1+7, "")</f>
        <v>42344</v>
      </c>
      <c r="AB26" s="21">
        <f>IF(AND(YEAR(DecSun1+8)=TheYear,MONTH(DecSun1+8)=12),DecSun1+8, "")</f>
        <v>42345</v>
      </c>
      <c r="AC26" s="21">
        <f>IF(AND(YEAR(DecSun1+9)=TheYear,MONTH(DecSun1+9)=12),DecSun1+9, "")</f>
        <v>42346</v>
      </c>
      <c r="AD26" s="21">
        <f>IF(AND(YEAR(DecSun1+10)=TheYear,MONTH(DecSun1+10)=12),DecSun1+10, "")</f>
        <v>42347</v>
      </c>
      <c r="AE26" s="21">
        <f>IF(AND(YEAR(DecSun1+11)=TheYear,MONTH(DecSun1+11)=12),DecSun1+11, "")</f>
        <v>42348</v>
      </c>
      <c r="AF26" s="21">
        <f>IF(AND(YEAR(DecSun1+12)=TheYear,MONTH(DecSun1+12)=12),DecSun1+12, "")</f>
        <v>42349</v>
      </c>
      <c r="AG26" s="21">
        <f>IF(AND(YEAR(DecSun1+13)=TheYear,MONTH(DecSun1+13)=12),DecSun1+13, "")</f>
        <v>42350</v>
      </c>
      <c r="AH26" s="10"/>
    </row>
    <row r="27" spans="2:36">
      <c r="B27" s="8"/>
      <c r="C27" s="14">
        <f>IF(AND(YEAR(MarSun1+14)=TheYear,MONTH(MarSun1+14)=3),MarSun1+14, "")</f>
        <v>42078</v>
      </c>
      <c r="D27" s="14">
        <f>IF(AND(YEAR(MarSun1+15)=TheYear,MONTH(MarSun1+15)=3),MarSun1+15, "")</f>
        <v>42079</v>
      </c>
      <c r="E27" s="14">
        <f>IF(AND(YEAR(MarSun1+16)=TheYear,MONTH(MarSun1+16)=3),MarSun1+16, "")</f>
        <v>42080</v>
      </c>
      <c r="F27" s="14">
        <f>IF(AND(YEAR(MarSun1+17)=TheYear,MONTH(MarSun1+17)=3),MarSun1+17, "")</f>
        <v>42081</v>
      </c>
      <c r="G27" s="14">
        <f>IF(AND(YEAR(MarSun1+18)=TheYear,MONTH(MarSun1+18)=3),MarSun1+18, "")</f>
        <v>42082</v>
      </c>
      <c r="H27" s="14">
        <f>IF(AND(YEAR(MarSun1+19)=TheYear,MONTH(MarSun1+19)=3),MarSun1+19, "")</f>
        <v>42083</v>
      </c>
      <c r="I27" s="14">
        <f>IF(AND(YEAR(MarSun1+20)=TheYear,MONTH(MarSun1+20)=3),MarSun1+20, "")</f>
        <v>42084</v>
      </c>
      <c r="J27" s="9"/>
      <c r="K27" s="21">
        <f>IF(AND(YEAR(JunSun1+14)=TheYear,MONTH(JunSun1+14)=6),JunSun1+14, "")</f>
        <v>42169</v>
      </c>
      <c r="L27" s="21">
        <f>IF(AND(YEAR(JunSun1+15)=TheYear,MONTH(JunSun1+15)=6),JunSun1+15, "")</f>
        <v>42170</v>
      </c>
      <c r="M27" s="21">
        <f>IF(AND(YEAR(JunSun1+16)=TheYear,MONTH(JunSun1+16)=6),JunSun1+16, "")</f>
        <v>42171</v>
      </c>
      <c r="N27" s="21">
        <f>IF(AND(YEAR(JunSun1+17)=TheYear,MONTH(JunSun1+17)=6),JunSun1+17, "")</f>
        <v>42172</v>
      </c>
      <c r="O27" s="21">
        <f>IF(AND(YEAR(JunSun1+18)=TheYear,MONTH(JunSun1+18)=6),JunSun1+18, "")</f>
        <v>42173</v>
      </c>
      <c r="P27" s="21">
        <f>IF(AND(YEAR(JunSun1+19)=TheYear,MONTH(JunSun1+19)=6),JunSun1+19, "")</f>
        <v>42174</v>
      </c>
      <c r="Q27" s="21">
        <f>IF(AND(YEAR(JunSun1+20)=TheYear,MONTH(JunSun1+20)=6),JunSun1+20, "")</f>
        <v>42175</v>
      </c>
      <c r="R27" s="22"/>
      <c r="S27" s="21">
        <f>IF(AND(YEAR(DecSun1+14)=TheYear,MONTH(DecSun1+14)=12),DecSun1+14, "")</f>
        <v>42351</v>
      </c>
      <c r="T27" s="21">
        <f>IF(AND(YEAR(DecSun1+15)=TheYear,MONTH(DecSun1+15)=12),DecSun1+15, "")</f>
        <v>42352</v>
      </c>
      <c r="U27" s="21">
        <f>IF(AND(YEAR(DecSun1+16)=TheYear,MONTH(DecSun1+16)=12),DecSun1+16, "")</f>
        <v>42353</v>
      </c>
      <c r="V27" s="21">
        <f>IF(AND(YEAR(DecSun1+17)=TheYear,MONTH(DecSun1+17)=12),DecSun1+17, "")</f>
        <v>42354</v>
      </c>
      <c r="W27" s="21">
        <f>IF(AND(YEAR(DecSun1+18)=TheYear,MONTH(DecSun1+18)=12),DecSun1+18, "")</f>
        <v>42355</v>
      </c>
      <c r="X27" s="21">
        <f>IF(AND(YEAR(DecSun1+19)=TheYear,MONTH(DecSun1+19)=12),DecSun1+19, "")</f>
        <v>42356</v>
      </c>
      <c r="Y27" s="29">
        <f>IF(AND(YEAR(DecSun1+20)=TheYear,MONTH(DecSun1+20)=12),DecSun1+20, "")</f>
        <v>42357</v>
      </c>
      <c r="Z27" s="22"/>
      <c r="AA27" s="21">
        <f>IF(AND(YEAR(DecSun1+14)=TheYear,MONTH(DecSun1+14)=12),DecSun1+14, "")</f>
        <v>42351</v>
      </c>
      <c r="AB27" s="21">
        <f>IF(AND(YEAR(DecSun1+15)=TheYear,MONTH(DecSun1+15)=12),DecSun1+15, "")</f>
        <v>42352</v>
      </c>
      <c r="AC27" s="21">
        <f>IF(AND(YEAR(DecSun1+16)=TheYear,MONTH(DecSun1+16)=12),DecSun1+16, "")</f>
        <v>42353</v>
      </c>
      <c r="AD27" s="21">
        <f>IF(AND(YEAR(DecSun1+17)=TheYear,MONTH(DecSun1+17)=12),DecSun1+17, "")</f>
        <v>42354</v>
      </c>
      <c r="AE27" s="21">
        <f>IF(AND(YEAR(DecSun1+18)=TheYear,MONTH(DecSun1+18)=12),DecSun1+18, "")</f>
        <v>42355</v>
      </c>
      <c r="AF27" s="21">
        <f>IF(AND(YEAR(DecSun1+19)=TheYear,MONTH(DecSun1+19)=12),DecSun1+19, "")</f>
        <v>42356</v>
      </c>
      <c r="AG27" s="21">
        <f>IF(AND(YEAR(DecSun1+20)=TheYear,MONTH(DecSun1+20)=12),DecSun1+20, "")</f>
        <v>42357</v>
      </c>
      <c r="AH27" s="10"/>
    </row>
    <row r="28" spans="2:36">
      <c r="B28" s="8"/>
      <c r="C28" s="14">
        <f>IF(AND(YEAR(MarSun1+21)=TheYear,MONTH(MarSun1+21)=3),MarSun1+21, "")</f>
        <v>42085</v>
      </c>
      <c r="D28" s="14">
        <f>IF(AND(YEAR(MarSun1+22)=TheYear,MONTH(MarSun1+22)=3),MarSun1+22, "")</f>
        <v>42086</v>
      </c>
      <c r="E28" s="14">
        <f>IF(AND(YEAR(MarSun1+23)=TheYear,MONTH(MarSun1+23)=3),MarSun1+23, "")</f>
        <v>42087</v>
      </c>
      <c r="F28" s="14">
        <f>IF(AND(YEAR(MarSun1+24)=TheYear,MONTH(MarSun1+24)=3),MarSun1+24, "")</f>
        <v>42088</v>
      </c>
      <c r="G28" s="14">
        <f>IF(AND(YEAR(MarSun1+25)=TheYear,MONTH(MarSun1+25)=3),MarSun1+25, "")</f>
        <v>42089</v>
      </c>
      <c r="H28" s="14">
        <f>IF(AND(YEAR(MarSun1+26)=TheYear,MONTH(MarSun1+26)=3),MarSun1+26, "")</f>
        <v>42090</v>
      </c>
      <c r="I28" s="14">
        <f>IF(AND(YEAR(MarSun1+27)=TheYear,MONTH(MarSun1+27)=3),MarSun1+27, "")</f>
        <v>42091</v>
      </c>
      <c r="J28" s="9"/>
      <c r="K28" s="21">
        <f>IF(AND(YEAR(JunSun1+21)=TheYear,MONTH(JunSun1+21)=6),JunSun1+21, "")</f>
        <v>42176</v>
      </c>
      <c r="L28" s="21">
        <f>IF(AND(YEAR(JunSun1+22)=TheYear,MONTH(JunSun1+22)=6),JunSun1+22, "")</f>
        <v>42177</v>
      </c>
      <c r="M28" s="21">
        <f>IF(AND(YEAR(JunSun1+23)=TheYear,MONTH(JunSun1+23)=6),JunSun1+23, "")</f>
        <v>42178</v>
      </c>
      <c r="N28" s="21">
        <f>IF(AND(YEAR(JunSun1+24)=TheYear,MONTH(JunSun1+24)=6),JunSun1+24, "")</f>
        <v>42179</v>
      </c>
      <c r="O28" s="21">
        <f>IF(AND(YEAR(JunSun1+25)=TheYear,MONTH(JunSun1+25)=6),JunSun1+25, "")</f>
        <v>42180</v>
      </c>
      <c r="P28" s="21">
        <f>IF(AND(YEAR(JunSun1+26)=TheYear,MONTH(JunSun1+26)=6),JunSun1+26, "")</f>
        <v>42181</v>
      </c>
      <c r="Q28" s="21">
        <f>IF(AND(YEAR(JunSun1+27)=TheYear,MONTH(JunSun1+27)=6),JunSun1+27, "")</f>
        <v>42182</v>
      </c>
      <c r="R28" s="22"/>
      <c r="S28" s="21">
        <f>IF(AND(YEAR(DecSun1+21)=TheYear,MONTH(DecSun1+21)=12),DecSun1+21, "")</f>
        <v>42358</v>
      </c>
      <c r="T28" s="21">
        <f>IF(AND(YEAR(DecSun1+22)=TheYear,MONTH(DecSun1+22)=12),DecSun1+22, "")</f>
        <v>42359</v>
      </c>
      <c r="U28" s="21">
        <f>IF(AND(YEAR(DecSun1+23)=TheYear,MONTH(DecSun1+23)=12),DecSun1+23, "")</f>
        <v>42360</v>
      </c>
      <c r="V28" s="21">
        <f>IF(AND(YEAR(DecSun1+24)=TheYear,MONTH(DecSun1+24)=12),DecSun1+24, "")</f>
        <v>42361</v>
      </c>
      <c r="W28" s="21">
        <f>IF(AND(YEAR(DecSun1+25)=TheYear,MONTH(DecSun1+25)=12),DecSun1+25, "")</f>
        <v>42362</v>
      </c>
      <c r="X28" s="21">
        <f>IF(AND(YEAR(DecSun1+26)=TheYear,MONTH(DecSun1+26)=12),DecSun1+26, "")</f>
        <v>42363</v>
      </c>
      <c r="Y28" s="29">
        <f>IF(AND(YEAR(DecSun1+27)=TheYear,MONTH(DecSun1+27)=12),DecSun1+27, "")</f>
        <v>42364</v>
      </c>
      <c r="Z28" s="22"/>
      <c r="AA28" s="21">
        <f>IF(AND(YEAR(DecSun1+21)=TheYear,MONTH(DecSun1+21)=12),DecSun1+21, "")</f>
        <v>42358</v>
      </c>
      <c r="AB28" s="21">
        <f>IF(AND(YEAR(DecSun1+22)=TheYear,MONTH(DecSun1+22)=12),DecSun1+22, "")</f>
        <v>42359</v>
      </c>
      <c r="AC28" s="21">
        <f>IF(AND(YEAR(DecSun1+23)=TheYear,MONTH(DecSun1+23)=12),DecSun1+23, "")</f>
        <v>42360</v>
      </c>
      <c r="AD28" s="21">
        <f>IF(AND(YEAR(DecSun1+24)=TheYear,MONTH(DecSun1+24)=12),DecSun1+24, "")</f>
        <v>42361</v>
      </c>
      <c r="AE28" s="21">
        <f>IF(AND(YEAR(DecSun1+25)=TheYear,MONTH(DecSun1+25)=12),DecSun1+25, "")</f>
        <v>42362</v>
      </c>
      <c r="AF28" s="21">
        <f>IF(AND(YEAR(DecSun1+26)=TheYear,MONTH(DecSun1+26)=12),DecSun1+26, "")</f>
        <v>42363</v>
      </c>
      <c r="AG28" s="21">
        <f>IF(AND(YEAR(DecSun1+27)=TheYear,MONTH(DecSun1+27)=12),DecSun1+27, "")</f>
        <v>42364</v>
      </c>
      <c r="AH28" s="10"/>
    </row>
    <row r="29" spans="2:36">
      <c r="B29" s="8"/>
      <c r="C29" s="14">
        <f>IF(AND(YEAR(MarSun1+28)=TheYear,MONTH(MarSun1+28)=3),MarSun1+28, "")</f>
        <v>42092</v>
      </c>
      <c r="D29" s="14">
        <f>IF(AND(YEAR(MarSun1+29)=TheYear,MONTH(MarSun1+29)=3),MarSun1+29, "")</f>
        <v>42093</v>
      </c>
      <c r="E29" s="14">
        <f>IF(AND(YEAR(MarSun1+30)=TheYear,MONTH(MarSun1+30)=3),MarSun1+30, "")</f>
        <v>42094</v>
      </c>
      <c r="F29" s="14" t="str">
        <f>IF(AND(YEAR(MarSun1+31)=TheYear,MONTH(MarSun1+31)=3),MarSun1+31, "")</f>
        <v/>
      </c>
      <c r="G29" s="14" t="str">
        <f>IF(AND(YEAR(MarSun1+32)=TheYear,MONTH(MarSun1+32)=3),MarSun1+32, "")</f>
        <v/>
      </c>
      <c r="H29" s="14" t="str">
        <f>IF(AND(YEAR(MarSun1+33)=TheYear,MONTH(MarSun1+33)=3),MarSun1+33, "")</f>
        <v/>
      </c>
      <c r="I29" s="14" t="str">
        <f>IF(AND(YEAR(MarSun1+34)=TheYear,MONTH(MarSun1+34)=3),MarSun1+34, "")</f>
        <v/>
      </c>
      <c r="J29" s="9"/>
      <c r="K29" s="21">
        <f>IF(AND(YEAR(JunSun1+28)=TheYear,MONTH(JunSun1+28)=6),JunSun1+28, "")</f>
        <v>42183</v>
      </c>
      <c r="L29" s="21">
        <f>IF(AND(YEAR(JunSun1+29)=TheYear,MONTH(JunSun1+29)=6),JunSun1+29, "")</f>
        <v>42184</v>
      </c>
      <c r="M29" s="21">
        <f>IF(AND(YEAR(JunSun1+30)=TheYear,MONTH(JunSun1+30)=6),JunSun1+30, "")</f>
        <v>42185</v>
      </c>
      <c r="N29" s="21" t="str">
        <f>IF(AND(YEAR(JunSun1+31)=TheYear,MONTH(JunSun1+31)=6),JunSun1+31, "")</f>
        <v/>
      </c>
      <c r="O29" s="21" t="str">
        <f>IF(AND(YEAR(JunSun1+32)=TheYear,MONTH(JunSun1+32)=6),JunSun1+32, "")</f>
        <v/>
      </c>
      <c r="P29" s="21" t="str">
        <f>IF(AND(YEAR(JunSun1+33)=TheYear,MONTH(JunSun1+33)=6),JunSun1+33, "")</f>
        <v/>
      </c>
      <c r="Q29" s="21" t="str">
        <f>IF(AND(YEAR(JunSun1+34)=TheYear,MONTH(JunSun1+34)=6),JunSun1+34, "")</f>
        <v/>
      </c>
      <c r="R29" s="22"/>
      <c r="S29" s="21">
        <f>IF(AND(YEAR(DecSun1+28)=TheYear,MONTH(DecSun1+28)=12),DecSun1+28, "")</f>
        <v>42365</v>
      </c>
      <c r="T29" s="21">
        <f>IF(AND(YEAR(DecSun1+29)=TheYear,MONTH(DecSun1+29)=12),DecSun1+29, "")</f>
        <v>42366</v>
      </c>
      <c r="U29" s="21">
        <f>IF(AND(YEAR(DecSun1+30)=TheYear,MONTH(DecSun1+30)=12),DecSun1+30, "")</f>
        <v>42367</v>
      </c>
      <c r="V29" s="21">
        <f>IF(AND(YEAR(DecSun1+31)=TheYear,MONTH(DecSun1+31)=12),DecSun1+31, "")</f>
        <v>42368</v>
      </c>
      <c r="W29" s="21">
        <f>IF(AND(YEAR(DecSun1+32)=TheYear,MONTH(DecSun1+32)=12),DecSun1+32, "")</f>
        <v>42369</v>
      </c>
      <c r="X29" s="21" t="str">
        <f>IF(AND(YEAR(DecSun1+33)=TheYear,MONTH(DecSun1+33)=12),DecSun1+33, "")</f>
        <v/>
      </c>
      <c r="Y29" s="21" t="str">
        <f>IF(AND(YEAR(DecSun1+34)=TheYear,MONTH(DecSun1+34)=12),DecSun1+34, "")</f>
        <v/>
      </c>
      <c r="Z29" s="22"/>
      <c r="AA29" s="21">
        <f>IF(AND(YEAR(DecSun1+28)=TheYear,MONTH(DecSun1+28)=12),DecSun1+28, "")</f>
        <v>42365</v>
      </c>
      <c r="AB29" s="21">
        <f>IF(AND(YEAR(DecSun1+29)=TheYear,MONTH(DecSun1+29)=12),DecSun1+29, "")</f>
        <v>42366</v>
      </c>
      <c r="AC29" s="21">
        <f>IF(AND(YEAR(DecSun1+30)=TheYear,MONTH(DecSun1+30)=12),DecSun1+30, "")</f>
        <v>42367</v>
      </c>
      <c r="AD29" s="21">
        <f>IF(AND(YEAR(DecSun1+31)=TheYear,MONTH(DecSun1+31)=12),DecSun1+31, "")</f>
        <v>42368</v>
      </c>
      <c r="AE29" s="21">
        <f>IF(AND(YEAR(DecSun1+32)=TheYear,MONTH(DecSun1+32)=12),DecSun1+32, "")</f>
        <v>42369</v>
      </c>
      <c r="AF29" s="21" t="str">
        <f>IF(AND(YEAR(DecSun1+33)=TheYear,MONTH(DecSun1+33)=12),DecSun1+33, "")</f>
        <v/>
      </c>
      <c r="AG29" s="21" t="str">
        <f>IF(AND(YEAR(DecSun1+34)=TheYear,MONTH(DecSun1+34)=12),DecSun1+34, "")</f>
        <v/>
      </c>
      <c r="AH29" s="10"/>
    </row>
    <row r="30" spans="2:36">
      <c r="B30" s="8"/>
      <c r="C30" s="14" t="str">
        <f>IF(AND(YEAR(MarSun1+35)=TheYear,MONTH(MarSun1+35)=3),MarSun1+35, "")</f>
        <v/>
      </c>
      <c r="D30" s="14" t="str">
        <f>IF(AND(YEAR(MarSun1+36)=TheYear,MONTH(MarSun1+36)=3),MarSun1+36, "")</f>
        <v/>
      </c>
      <c r="E30" s="14" t="str">
        <f>IF(AND(YEAR(MarSun1+37)=TheYear,MONTH(MarSun1+37)=3),MarSun1+37, "")</f>
        <v/>
      </c>
      <c r="F30" s="14" t="str">
        <f>IF(AND(YEAR(MarSun1+38)=TheYear,MONTH(MarSun1+38)=3),MarSun1+38, "")</f>
        <v/>
      </c>
      <c r="G30" s="14" t="str">
        <f>IF(AND(YEAR(MarSun1+39)=TheYear,MONTH(MarSun1+39)=3),MarSun1+39, "")</f>
        <v/>
      </c>
      <c r="H30" s="14" t="str">
        <f>IF(AND(YEAR(MarSun1+40)=TheYear,MONTH(MarSun1+40)=3),MarSun1+40, "")</f>
        <v/>
      </c>
      <c r="I30" s="14" t="str">
        <f>IF(AND(YEAR(MarSun1+41)=TheYear,MONTH(MarSun1+41)=3),MarSun1+41, "")</f>
        <v/>
      </c>
      <c r="J30" s="9"/>
      <c r="K30" s="14" t="str">
        <f>IF(AND(YEAR(JunSun1+35)=TheYear,MONTH(JunSun1+35)=6),JunSun1+35, "")</f>
        <v/>
      </c>
      <c r="L30" s="14" t="str">
        <f>IF(AND(YEAR(JunSun1+36)=TheYear,MONTH(JunSun1+36)=6),JunSun1+36, "")</f>
        <v/>
      </c>
      <c r="M30" s="14" t="str">
        <f>IF(AND(YEAR(JunSun1+37)=TheYear,MONTH(JunSun1+37)=6),JunSun1+37, "")</f>
        <v/>
      </c>
      <c r="N30" s="14" t="str">
        <f>IF(AND(YEAR(JunSun1+38)=TheYear,MONTH(JunSun1+38)=6),JunSun1+38, "")</f>
        <v/>
      </c>
      <c r="O30" s="14" t="str">
        <f>IF(AND(YEAR(JunSun1+39)=TheYear,MONTH(JunSun1+39)=6),JunSun1+39, "")</f>
        <v/>
      </c>
      <c r="P30" s="14" t="str">
        <f>IF(AND(YEAR(JunSun1+40)=TheYear,MONTH(JunSun1+40)=6),JunSun1+40, "")</f>
        <v/>
      </c>
      <c r="Q30" s="14" t="str">
        <f>IF(AND(YEAR(JunSun1+41)=TheYear,MONTH(JunSun1+41)=6),JunSun1+41, "")</f>
        <v/>
      </c>
      <c r="R30" s="9"/>
      <c r="S30" s="14" t="str">
        <f>IF(AND(YEAR(SepSun1+35)=TheYear,MONTH(SepSun1+35)=9),SepSun1+35, "")</f>
        <v/>
      </c>
      <c r="T30" s="14" t="str">
        <f>IF(AND(YEAR(SepSun1+36)=TheYear,MONTH(SepSun1+36)=9),SepSun1+36, "")</f>
        <v/>
      </c>
      <c r="U30" s="14" t="str">
        <f>IF(AND(YEAR(SepSun1+37)=TheYear,MONTH(SepSun1+37)=9),SepSun1+37, "")</f>
        <v/>
      </c>
      <c r="V30" s="14" t="str">
        <f>IF(AND(YEAR(SepSun1+38)=TheYear,MONTH(SepSun1+38)=9),SepSun1+38, "")</f>
        <v/>
      </c>
      <c r="W30" s="14" t="str">
        <f>IF(AND(YEAR(SepSun1+39)=TheYear,MONTH(SepSun1+39)=9),SepSun1+39, "")</f>
        <v/>
      </c>
      <c r="X30" s="14" t="str">
        <f>IF(AND(YEAR(SepSun1+40)=TheYear,MONTH(SepSun1+40)=9),SepSun1+40, "")</f>
        <v/>
      </c>
      <c r="Y30" s="14" t="str">
        <f>IF(AND(YEAR(SepSun1+41)=TheYear,MONTH(SepSun1+41)=9),SepSun1+41, "")</f>
        <v/>
      </c>
      <c r="Z30" s="9"/>
      <c r="AA30" s="14" t="str">
        <f>IF(AND(YEAR(DecSun1+35)=TheYear,MONTH(DecSun1+35)=12),DecSun1+35, "")</f>
        <v/>
      </c>
      <c r="AB30" s="14" t="str">
        <f>IF(AND(YEAR(DecSun1+36)=TheYear,MONTH(DecSun1+36)=12),DecSun1+36, "")</f>
        <v/>
      </c>
      <c r="AC30" s="14" t="str">
        <f>IF(AND(YEAR(DecSun1+37)=TheYear,MONTH(DecSun1+37)=12),DecSun1+37, "")</f>
        <v/>
      </c>
      <c r="AD30" s="14" t="str">
        <f>IF(AND(YEAR(DecSun1+38)=TheYear,MONTH(DecSun1+38)=12),DecSun1+38, "")</f>
        <v/>
      </c>
      <c r="AE30" s="14" t="str">
        <f>IF(AND(YEAR(DecSun1+39)=TheYear,MONTH(DecSun1+39)=12),DecSun1+39, "")</f>
        <v/>
      </c>
      <c r="AF30" s="14" t="str">
        <f>IF(AND(YEAR(DecSun1+40)=TheYear,MONTH(DecSun1+40)=12),DecSun1+40, "")</f>
        <v/>
      </c>
      <c r="AG30" s="14" t="str">
        <f>IF(AND(YEAR(DecSun1+41)=TheYear,MONTH(DecSun1+41)=12),DecSun1+41, "")</f>
        <v/>
      </c>
      <c r="AH30" s="10"/>
    </row>
    <row r="31" spans="2:36" ht="13.5" customHeight="1" thickBot="1">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8"/>
    </row>
    <row r="32" spans="2:36" ht="15" thickTop="1">
      <c r="B32" s="19"/>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row>
    <row r="33" spans="2:34">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row>
    <row r="34" spans="2:34">
      <c r="B34" s="19"/>
      <c r="C34" s="19"/>
      <c r="D34" s="19"/>
      <c r="E34" s="19"/>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row>
    <row r="35" spans="2:34">
      <c r="B35" s="19"/>
      <c r="C35" s="19"/>
      <c r="D35" s="19"/>
      <c r="E35" s="19"/>
      <c r="F35" s="19"/>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row>
    <row r="36" spans="2:34" ht="23">
      <c r="B36" s="19"/>
      <c r="C36" s="19"/>
      <c r="D36" s="19"/>
      <c r="E36" s="19"/>
      <c r="F36" s="4"/>
      <c r="G36" s="4"/>
      <c r="H36" s="20" t="s">
        <v>19</v>
      </c>
      <c r="I36" s="19"/>
      <c r="J36" s="19"/>
      <c r="K36" s="19"/>
      <c r="L36" s="19"/>
      <c r="M36" s="19"/>
      <c r="N36" s="19"/>
      <c r="O36" s="19"/>
      <c r="P36" s="19"/>
      <c r="Q36" s="19"/>
      <c r="R36" s="19"/>
      <c r="S36" s="20"/>
      <c r="T36" s="19"/>
      <c r="U36" s="19"/>
      <c r="V36" s="19"/>
      <c r="W36" s="19"/>
      <c r="X36" s="19"/>
      <c r="Y36" s="19"/>
      <c r="Z36" s="19"/>
      <c r="AA36" s="19"/>
      <c r="AB36" s="19"/>
      <c r="AC36" s="19"/>
      <c r="AD36" s="19"/>
      <c r="AE36" s="19"/>
      <c r="AF36" s="19"/>
      <c r="AG36" s="19"/>
      <c r="AH36" s="19"/>
    </row>
    <row r="37" spans="2:34">
      <c r="B37" s="19"/>
      <c r="C37" s="19"/>
      <c r="D37" s="19"/>
      <c r="E37" s="19"/>
      <c r="F37" s="19" t="s">
        <v>21</v>
      </c>
      <c r="G37" s="19"/>
      <c r="H37" s="19"/>
      <c r="I37" s="19"/>
      <c r="J37" s="19"/>
      <c r="K37" s="19"/>
      <c r="L37" s="19"/>
      <c r="M37" s="19"/>
      <c r="N37" s="19"/>
      <c r="O37" s="19"/>
      <c r="P37" s="19"/>
      <c r="Q37" s="19"/>
      <c r="R37" s="19"/>
      <c r="S37" s="19"/>
      <c r="T37" s="19"/>
      <c r="U37" s="19"/>
      <c r="V37" s="19"/>
      <c r="W37" s="19"/>
      <c r="X37" s="19"/>
      <c r="Y37" s="19"/>
      <c r="Z37" s="19"/>
      <c r="AA37" s="19"/>
      <c r="AB37" s="19"/>
      <c r="AC37" s="19"/>
      <c r="AD37" s="19"/>
      <c r="AE37" s="19"/>
      <c r="AF37" s="19"/>
      <c r="AG37" s="19"/>
      <c r="AH37" s="19"/>
    </row>
  </sheetData>
  <mergeCells count="13">
    <mergeCell ref="C23:I23"/>
    <mergeCell ref="K23:Q23"/>
    <mergeCell ref="S23:Y23"/>
    <mergeCell ref="AA23:AG23"/>
    <mergeCell ref="B2:AH3"/>
    <mergeCell ref="C5:I5"/>
    <mergeCell ref="K5:Q5"/>
    <mergeCell ref="S5:Y5"/>
    <mergeCell ref="AA5:AG5"/>
    <mergeCell ref="C14:I14"/>
    <mergeCell ref="K14:Q14"/>
    <mergeCell ref="S14:Y14"/>
    <mergeCell ref="AA14:AG14"/>
  </mergeCells>
  <phoneticPr fontId="6" type="noConversion"/>
  <conditionalFormatting sqref="C5:AG30">
    <cfRule type="containsErrors" dxfId="2" priority="1">
      <formula>ISERROR(C5)</formula>
    </cfRule>
    <cfRule type="containsBlanks" dxfId="1" priority="2">
      <formula>LEN(TRIM(C5))=0</formula>
    </cfRule>
  </conditionalFormatting>
  <dataValidations count="1">
    <dataValidation type="list" allowBlank="1" showInputMessage="1" showErrorMessage="1" errorTitle="Invalid Year" error="Enter a year from 1900 to 9999, or use the scroll bar to find a year." sqref="B2:AH3">
      <formula1>YearLookup</formula1>
    </dataValidation>
  </dataValidations>
  <printOptions horizontalCentered="1" verticalCentered="1"/>
  <pageMargins left="0.7" right="0.7" top="0.75" bottom="0.75" header="0.3" footer="0.3"/>
  <pageSetup paperSize="9" scale="61" orientation="portrait" horizontalDpi="4294967292" verticalDpi="4294967292"/>
  <legacyDrawing r:id="rId1"/>
  <extLst>
    <ext xmlns:mx="http://schemas.microsoft.com/office/mac/excel/2008/main" uri="{64002731-A6B0-56B0-2670-7721B7C09600}">
      <mx:PLV Mode="1"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10"/>
  <sheetViews>
    <sheetView workbookViewId="0">
      <selection activeCell="A11" sqref="A11"/>
    </sheetView>
  </sheetViews>
  <sheetFormatPr baseColWidth="10" defaultColWidth="8.83203125" defaultRowHeight="14" x14ac:dyDescent="0"/>
  <sheetData>
    <row r="1" spans="1:3">
      <c r="A1" s="1" t="s">
        <v>2</v>
      </c>
    </row>
    <row r="2" spans="1:3">
      <c r="A2">
        <v>2010</v>
      </c>
    </row>
    <row r="3" spans="1:3">
      <c r="A3">
        <v>2011</v>
      </c>
    </row>
    <row r="4" spans="1:3">
      <c r="A4">
        <v>2012</v>
      </c>
    </row>
    <row r="5" spans="1:3">
      <c r="A5">
        <v>2013</v>
      </c>
    </row>
    <row r="6" spans="1:3">
      <c r="A6">
        <v>2014</v>
      </c>
    </row>
    <row r="7" spans="1:3">
      <c r="A7">
        <v>2015</v>
      </c>
    </row>
    <row r="8" spans="1:3">
      <c r="A8">
        <v>2016</v>
      </c>
    </row>
    <row r="9" spans="1:3">
      <c r="A9">
        <v>2017</v>
      </c>
    </row>
    <row r="10" spans="1:3">
      <c r="A10" s="3">
        <v>2112</v>
      </c>
    </row>
  </sheetData>
  <pageMargins left="0.7" right="0.7" top="0.75" bottom="0.75" header="0.3" footer="0.3"/>
  <legacyDrawing r:id="rId1"/>
  <tableParts count="1">
    <tablePart r:id="rId2"/>
  </tablePart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2</vt:i4>
      </vt:variant>
    </vt:vector>
  </HeadingPairs>
  <TitlesOfParts>
    <vt:vector size="2" baseType="lpstr">
      <vt:lpstr>Calendrier</vt:lpstr>
      <vt:lpstr>Liste de recherche</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Franck</cp:lastModifiedBy>
  <dcterms:created xsi:type="dcterms:W3CDTF">2010-04-07T20:16:53Z</dcterms:created>
  <dcterms:modified xsi:type="dcterms:W3CDTF">2015-03-05T18:20:34Z</dcterms:modified>
  <cp:category/>
</cp:coreProperties>
</file>